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ufanataturkyilmaz/Library/CloudStorage/GoogleDrive-tufanata@gmail.com/Drive'ım/ GİRİŞİMCİLİK EĞİTİMLERİ/      Girişimcilik Evrakları/"/>
    </mc:Choice>
  </mc:AlternateContent>
  <xr:revisionPtr revIDLastSave="0" documentId="13_ncr:1_{4F1F2F40-3AE8-7B4C-B25D-3D563C87CD29}" xr6:coauthVersionLast="47" xr6:coauthVersionMax="47" xr10:uidLastSave="{00000000-0000-0000-0000-000000000000}"/>
  <workbookProtection workbookAlgorithmName="SHA-512" workbookHashValue="qxIR4R2zYTdrtDvz1hsgrYOEDk8nKw0wMWT9eibrmbFmRoEYY+6AJrWif1cHA3cRtq54GpYr+DTp1hwNb5DtvQ==" workbookSaltValue="9iKGC1uStcTHRCk+8V11kQ==" workbookSpinCount="100000" lockStructure="1"/>
  <bookViews>
    <workbookView xWindow="0" yWindow="500" windowWidth="28420" windowHeight="17500" activeTab="1" xr2:uid="{00000000-000D-0000-FFFF-FFFF00000000}"/>
  </bookViews>
  <sheets>
    <sheet name="İşletmenin Gelecek Projesiyonu" sheetId="4" r:id="rId1"/>
    <sheet name="6. Finansal Plan" sheetId="1" r:id="rId2"/>
    <sheet name="Üretim-Satış Hedefleri" sheetId="3" r:id="rId3"/>
    <sheet name="Kuruluş Dönemi Masrafları" sheetId="2" r:id="rId4"/>
  </sheets>
  <definedNames>
    <definedName name="_Toc434653449" localSheetId="3">'Kuruluş Dönemi Masrafları'!$B$4</definedName>
    <definedName name="_Toc434653450" localSheetId="3">'Kuruluş Dönemi Masrafları'!$C$4</definedName>
    <definedName name="_Toc434653451" localSheetId="3">'Kuruluş Dönemi Masrafları'!#REF!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45" i="1" l="1"/>
  <c r="I144" i="1"/>
  <c r="I143" i="1"/>
  <c r="F147" i="1"/>
  <c r="G23" i="1"/>
  <c r="G24" i="1"/>
  <c r="G25" i="1"/>
  <c r="G26" i="1"/>
  <c r="G27" i="1"/>
  <c r="G28" i="1"/>
  <c r="G31" i="1"/>
  <c r="G32" i="1"/>
  <c r="G33" i="1"/>
  <c r="I174" i="1"/>
  <c r="I175" i="1"/>
  <c r="I176" i="1"/>
  <c r="I177" i="1"/>
  <c r="I178" i="1"/>
  <c r="I179" i="1"/>
  <c r="I180" i="1"/>
  <c r="I181" i="1"/>
  <c r="I173" i="1"/>
  <c r="F173" i="1"/>
  <c r="G173" i="1" s="1"/>
  <c r="G178" i="1"/>
  <c r="G180" i="1"/>
  <c r="G181" i="1"/>
  <c r="D174" i="1"/>
  <c r="D175" i="1"/>
  <c r="D176" i="1"/>
  <c r="D177" i="1"/>
  <c r="D178" i="1"/>
  <c r="D179" i="1"/>
  <c r="D180" i="1"/>
  <c r="D181" i="1"/>
  <c r="D173" i="1"/>
  <c r="G179" i="1"/>
  <c r="G177" i="1"/>
  <c r="G176" i="1"/>
  <c r="G175" i="1"/>
  <c r="G174" i="1"/>
  <c r="G38" i="1" l="1"/>
  <c r="G39" i="1" s="1"/>
  <c r="F30" i="1"/>
  <c r="F34" i="1"/>
  <c r="B28" i="4"/>
  <c r="H118" i="1" l="1"/>
  <c r="I118" i="1"/>
  <c r="G105" i="1"/>
  <c r="F105" i="1"/>
  <c r="E105" i="1"/>
  <c r="F66" i="1" l="1"/>
  <c r="H65" i="1"/>
  <c r="H82" i="3"/>
  <c r="H83" i="3"/>
  <c r="H84" i="3"/>
  <c r="H85" i="3"/>
  <c r="H86" i="3"/>
  <c r="H87" i="3"/>
  <c r="H88" i="3"/>
  <c r="H81" i="3"/>
  <c r="G22" i="3"/>
  <c r="H22" i="3"/>
  <c r="I22" i="3"/>
  <c r="J22" i="3"/>
  <c r="K22" i="3"/>
  <c r="L22" i="3"/>
  <c r="M22" i="3"/>
  <c r="N22" i="3"/>
  <c r="O22" i="3"/>
  <c r="P22" i="3"/>
  <c r="G23" i="3"/>
  <c r="H23" i="3"/>
  <c r="I23" i="3"/>
  <c r="J23" i="3"/>
  <c r="K23" i="3"/>
  <c r="L23" i="3"/>
  <c r="M23" i="3"/>
  <c r="N23" i="3"/>
  <c r="O23" i="3"/>
  <c r="P23" i="3"/>
  <c r="G24" i="3"/>
  <c r="H24" i="3"/>
  <c r="I24" i="3"/>
  <c r="J24" i="3"/>
  <c r="K24" i="3"/>
  <c r="L24" i="3"/>
  <c r="M24" i="3"/>
  <c r="N24" i="3"/>
  <c r="O24" i="3"/>
  <c r="P24" i="3"/>
  <c r="G25" i="3"/>
  <c r="H25" i="3"/>
  <c r="I25" i="3"/>
  <c r="J25" i="3"/>
  <c r="K25" i="3"/>
  <c r="L25" i="3"/>
  <c r="M25" i="3"/>
  <c r="N25" i="3"/>
  <c r="O25" i="3"/>
  <c r="P25" i="3"/>
  <c r="G26" i="3"/>
  <c r="H26" i="3"/>
  <c r="I26" i="3"/>
  <c r="J26" i="3"/>
  <c r="K26" i="3"/>
  <c r="L26" i="3"/>
  <c r="M26" i="3"/>
  <c r="N26" i="3"/>
  <c r="O26" i="3"/>
  <c r="P26" i="3"/>
  <c r="G27" i="3"/>
  <c r="H27" i="3"/>
  <c r="I27" i="3"/>
  <c r="J27" i="3"/>
  <c r="K27" i="3"/>
  <c r="L27" i="3"/>
  <c r="M27" i="3"/>
  <c r="N27" i="3"/>
  <c r="O27" i="3"/>
  <c r="P27" i="3"/>
  <c r="G28" i="3"/>
  <c r="H28" i="3"/>
  <c r="I28" i="3"/>
  <c r="J28" i="3"/>
  <c r="K28" i="3"/>
  <c r="L28" i="3"/>
  <c r="M28" i="3"/>
  <c r="N28" i="3"/>
  <c r="O28" i="3"/>
  <c r="P28" i="3"/>
  <c r="G29" i="3"/>
  <c r="H29" i="3"/>
  <c r="I29" i="3"/>
  <c r="J29" i="3"/>
  <c r="K29" i="3"/>
  <c r="L29" i="3"/>
  <c r="M29" i="3"/>
  <c r="N29" i="3"/>
  <c r="O29" i="3"/>
  <c r="P29" i="3"/>
  <c r="G30" i="3"/>
  <c r="H30" i="3"/>
  <c r="I30" i="3"/>
  <c r="J30" i="3"/>
  <c r="K30" i="3"/>
  <c r="L30" i="3"/>
  <c r="M30" i="3"/>
  <c r="N30" i="3"/>
  <c r="O30" i="3"/>
  <c r="P30" i="3"/>
  <c r="P21" i="3"/>
  <c r="O21" i="3"/>
  <c r="N21" i="3"/>
  <c r="M21" i="3"/>
  <c r="L21" i="3"/>
  <c r="K21" i="3"/>
  <c r="J21" i="3"/>
  <c r="I21" i="3"/>
  <c r="H21" i="3"/>
  <c r="G21" i="3"/>
  <c r="F22" i="3"/>
  <c r="F23" i="3"/>
  <c r="F24" i="3"/>
  <c r="F25" i="3"/>
  <c r="F26" i="3"/>
  <c r="F27" i="3"/>
  <c r="F28" i="3"/>
  <c r="F29" i="3"/>
  <c r="F30" i="3"/>
  <c r="F21" i="3"/>
  <c r="E22" i="3"/>
  <c r="E23" i="3"/>
  <c r="E24" i="3"/>
  <c r="E25" i="3"/>
  <c r="E26" i="3"/>
  <c r="E27" i="3"/>
  <c r="E28" i="3"/>
  <c r="E29" i="3"/>
  <c r="E30" i="3"/>
  <c r="E21" i="3"/>
  <c r="D28" i="4"/>
  <c r="D29" i="4" s="1"/>
  <c r="C28" i="4"/>
  <c r="C29" i="4" s="1"/>
  <c r="B29" i="4"/>
  <c r="Q5" i="3"/>
  <c r="E81" i="3" s="1"/>
  <c r="Q6" i="3"/>
  <c r="R6" i="3" s="1"/>
  <c r="Q7" i="3"/>
  <c r="R7" i="3" s="1"/>
  <c r="Q8" i="3"/>
  <c r="E84" i="3" s="1"/>
  <c r="Q9" i="3"/>
  <c r="R9" i="3" s="1"/>
  <c r="Q10" i="3"/>
  <c r="R10" i="3" s="1"/>
  <c r="Q11" i="3"/>
  <c r="E87" i="3" s="1"/>
  <c r="Q12" i="3"/>
  <c r="E88" i="3" s="1"/>
  <c r="Q13" i="3"/>
  <c r="R13" i="3" s="1"/>
  <c r="E37" i="3"/>
  <c r="F37" i="3" s="1"/>
  <c r="G37" i="3" s="1"/>
  <c r="H37" i="3" s="1"/>
  <c r="I37" i="3" s="1"/>
  <c r="J37" i="3" s="1"/>
  <c r="K37" i="3"/>
  <c r="L37" i="3" s="1"/>
  <c r="Q14" i="3"/>
  <c r="R14" i="3" s="1"/>
  <c r="Q15" i="3"/>
  <c r="R15" i="3" s="1"/>
  <c r="I63" i="3"/>
  <c r="C68" i="3"/>
  <c r="C83" i="3" s="1"/>
  <c r="C69" i="3"/>
  <c r="C84" i="3" s="1"/>
  <c r="C70" i="3"/>
  <c r="C85" i="3" s="1"/>
  <c r="C71" i="3"/>
  <c r="C86" i="3" s="1"/>
  <c r="C72" i="3"/>
  <c r="C87" i="3" s="1"/>
  <c r="C73" i="3"/>
  <c r="C88" i="3" s="1"/>
  <c r="C74" i="3"/>
  <c r="C89" i="3" s="1"/>
  <c r="C67" i="3"/>
  <c r="C82" i="3" s="1"/>
  <c r="C66" i="3"/>
  <c r="C81" i="3" s="1"/>
  <c r="C54" i="3"/>
  <c r="C55" i="3"/>
  <c r="C56" i="3"/>
  <c r="C57" i="3"/>
  <c r="C58" i="3"/>
  <c r="C59" i="3"/>
  <c r="C60" i="3"/>
  <c r="C53" i="3"/>
  <c r="C52" i="3"/>
  <c r="C23" i="3"/>
  <c r="C26" i="3"/>
  <c r="C24" i="3"/>
  <c r="C25" i="3"/>
  <c r="C27" i="3"/>
  <c r="C28" i="3"/>
  <c r="C29" i="3"/>
  <c r="C30" i="3"/>
  <c r="C22" i="3"/>
  <c r="C21" i="3"/>
  <c r="G52" i="1"/>
  <c r="Q38" i="3"/>
  <c r="R38" i="3" s="1"/>
  <c r="D17" i="2"/>
  <c r="E16" i="1" s="1"/>
  <c r="H59" i="1"/>
  <c r="H58" i="1"/>
  <c r="D65" i="1"/>
  <c r="D78" i="1"/>
  <c r="D79" i="1"/>
  <c r="D80" i="1"/>
  <c r="D81" i="1"/>
  <c r="D82" i="1"/>
  <c r="D77" i="1"/>
  <c r="D76" i="1"/>
  <c r="D67" i="1"/>
  <c r="D68" i="1"/>
  <c r="D69" i="1"/>
  <c r="D70" i="1"/>
  <c r="D71" i="1"/>
  <c r="D66" i="1"/>
  <c r="D31" i="4"/>
  <c r="B31" i="4"/>
  <c r="A31" i="4"/>
  <c r="E60" i="1"/>
  <c r="F60" i="1"/>
  <c r="G46" i="1"/>
  <c r="G47" i="1"/>
  <c r="G48" i="1"/>
  <c r="G49" i="1"/>
  <c r="G50" i="1"/>
  <c r="G51" i="1"/>
  <c r="J16" i="3"/>
  <c r="G16" i="3"/>
  <c r="I16" i="3"/>
  <c r="H16" i="3"/>
  <c r="P16" i="3"/>
  <c r="O16" i="3"/>
  <c r="N16" i="3"/>
  <c r="M16" i="3"/>
  <c r="L16" i="3"/>
  <c r="K16" i="3"/>
  <c r="E16" i="3"/>
  <c r="F16" i="3"/>
  <c r="E47" i="1" l="1"/>
  <c r="E59" i="3"/>
  <c r="F59" i="3" s="1"/>
  <c r="G59" i="3" s="1"/>
  <c r="H59" i="3" s="1"/>
  <c r="I59" i="3" s="1"/>
  <c r="H60" i="1"/>
  <c r="E49" i="1" s="1"/>
  <c r="H49" i="1" s="1"/>
  <c r="E83" i="3"/>
  <c r="E54" i="3"/>
  <c r="F54" i="3" s="1"/>
  <c r="G54" i="3" s="1"/>
  <c r="H54" i="3" s="1"/>
  <c r="I54" i="3" s="1"/>
  <c r="K31" i="3"/>
  <c r="E53" i="3"/>
  <c r="F53" i="3" s="1"/>
  <c r="G53" i="3" s="1"/>
  <c r="H53" i="3" s="1"/>
  <c r="I53" i="3" s="1"/>
  <c r="E57" i="3"/>
  <c r="F57" i="3" s="1"/>
  <c r="G57" i="3" s="1"/>
  <c r="H57" i="3" s="1"/>
  <c r="I57" i="3" s="1"/>
  <c r="O31" i="3"/>
  <c r="R8" i="3"/>
  <c r="G31" i="3"/>
  <c r="N31" i="3"/>
  <c r="H90" i="3"/>
  <c r="E134" i="1" s="1"/>
  <c r="J31" i="3"/>
  <c r="E85" i="3"/>
  <c r="M31" i="3"/>
  <c r="E31" i="3"/>
  <c r="F31" i="3"/>
  <c r="Q16" i="3"/>
  <c r="E56" i="3"/>
  <c r="F56" i="3" s="1"/>
  <c r="G56" i="3" s="1"/>
  <c r="H56" i="3" s="1"/>
  <c r="I56" i="3" s="1"/>
  <c r="Q22" i="3"/>
  <c r="E67" i="3" s="1"/>
  <c r="F67" i="3" s="1"/>
  <c r="G67" i="3" s="1"/>
  <c r="H67" i="3" s="1"/>
  <c r="I67" i="3" s="1"/>
  <c r="E55" i="3"/>
  <c r="F55" i="3" s="1"/>
  <c r="G55" i="3" s="1"/>
  <c r="H55" i="3" s="1"/>
  <c r="I55" i="3" s="1"/>
  <c r="R12" i="3"/>
  <c r="L31" i="3"/>
  <c r="Q28" i="3"/>
  <c r="Q27" i="3"/>
  <c r="F87" i="3" s="1"/>
  <c r="Q26" i="3"/>
  <c r="E71" i="3" s="1"/>
  <c r="F71" i="3" s="1"/>
  <c r="G71" i="3" s="1"/>
  <c r="H71" i="3" s="1"/>
  <c r="I71" i="3" s="1"/>
  <c r="Q23" i="3"/>
  <c r="F83" i="3" s="1"/>
  <c r="Q24" i="3"/>
  <c r="R24" i="3" s="1"/>
  <c r="Q30" i="3"/>
  <c r="R30" i="3" s="1"/>
  <c r="Q29" i="3"/>
  <c r="Q25" i="3"/>
  <c r="F85" i="3" s="1"/>
  <c r="I31" i="3"/>
  <c r="R11" i="3"/>
  <c r="P37" i="3"/>
  <c r="H31" i="3"/>
  <c r="P31" i="3"/>
  <c r="E60" i="3"/>
  <c r="F60" i="3" s="1"/>
  <c r="G60" i="3" s="1"/>
  <c r="H60" i="3" s="1"/>
  <c r="I60" i="3" s="1"/>
  <c r="N37" i="3"/>
  <c r="E89" i="3"/>
  <c r="E58" i="3"/>
  <c r="F58" i="3" s="1"/>
  <c r="G58" i="3" s="1"/>
  <c r="H58" i="3" s="1"/>
  <c r="I58" i="3" s="1"/>
  <c r="M37" i="3"/>
  <c r="O37" i="3"/>
  <c r="Q21" i="3"/>
  <c r="R5" i="3"/>
  <c r="E86" i="3"/>
  <c r="E82" i="3"/>
  <c r="E52" i="3"/>
  <c r="R29" i="3" l="1"/>
  <c r="F89" i="3"/>
  <c r="E73" i="3"/>
  <c r="F73" i="3" s="1"/>
  <c r="G73" i="3" s="1"/>
  <c r="H73" i="3" s="1"/>
  <c r="I73" i="3" s="1"/>
  <c r="F88" i="3"/>
  <c r="N36" i="3"/>
  <c r="G36" i="3"/>
  <c r="E36" i="3"/>
  <c r="K36" i="3"/>
  <c r="K40" i="3"/>
  <c r="E79" i="1"/>
  <c r="G79" i="1" s="1"/>
  <c r="I49" i="1"/>
  <c r="E68" i="1"/>
  <c r="F68" i="1" s="1"/>
  <c r="G68" i="1" s="1"/>
  <c r="H68" i="1" s="1"/>
  <c r="I68" i="1" s="1"/>
  <c r="R25" i="3"/>
  <c r="E40" i="3"/>
  <c r="F40" i="3"/>
  <c r="F43" i="3"/>
  <c r="I43" i="3"/>
  <c r="G43" i="3"/>
  <c r="E43" i="3"/>
  <c r="O43" i="3"/>
  <c r="N40" i="3"/>
  <c r="N43" i="3"/>
  <c r="L43" i="3"/>
  <c r="E74" i="3"/>
  <c r="F74" i="3" s="1"/>
  <c r="G74" i="3" s="1"/>
  <c r="H74" i="3" s="1"/>
  <c r="I74" i="3" s="1"/>
  <c r="P43" i="3"/>
  <c r="M40" i="3"/>
  <c r="M43" i="3"/>
  <c r="H43" i="3"/>
  <c r="L36" i="3"/>
  <c r="J40" i="3"/>
  <c r="J43" i="3"/>
  <c r="K43" i="3"/>
  <c r="R16" i="3"/>
  <c r="F36" i="3"/>
  <c r="O40" i="3"/>
  <c r="O36" i="3"/>
  <c r="R22" i="3"/>
  <c r="I40" i="3"/>
  <c r="I36" i="3"/>
  <c r="F86" i="3"/>
  <c r="F82" i="3"/>
  <c r="R26" i="3"/>
  <c r="G40" i="3"/>
  <c r="J36" i="3"/>
  <c r="R23" i="3"/>
  <c r="H40" i="3"/>
  <c r="H36" i="3"/>
  <c r="R28" i="3"/>
  <c r="E72" i="3"/>
  <c r="F72" i="3" s="1"/>
  <c r="G72" i="3" s="1"/>
  <c r="H72" i="3" s="1"/>
  <c r="I72" i="3" s="1"/>
  <c r="L40" i="3"/>
  <c r="R27" i="3"/>
  <c r="E70" i="3"/>
  <c r="F70" i="3" s="1"/>
  <c r="G70" i="3" s="1"/>
  <c r="H70" i="3" s="1"/>
  <c r="I70" i="3" s="1"/>
  <c r="M36" i="3"/>
  <c r="Q37" i="3"/>
  <c r="R37" i="3" s="1"/>
  <c r="P40" i="3"/>
  <c r="E69" i="3"/>
  <c r="F69" i="3" s="1"/>
  <c r="G69" i="3" s="1"/>
  <c r="H69" i="3" s="1"/>
  <c r="I69" i="3" s="1"/>
  <c r="P36" i="3"/>
  <c r="F84" i="3"/>
  <c r="E68" i="3"/>
  <c r="F68" i="3" s="1"/>
  <c r="G68" i="3" s="1"/>
  <c r="H68" i="3" s="1"/>
  <c r="I68" i="3" s="1"/>
  <c r="F52" i="3"/>
  <c r="E61" i="3"/>
  <c r="E66" i="3"/>
  <c r="F81" i="3"/>
  <c r="Q31" i="3"/>
  <c r="R21" i="3"/>
  <c r="E66" i="1"/>
  <c r="H66" i="1" s="1"/>
  <c r="I66" i="1" s="1"/>
  <c r="I47" i="1"/>
  <c r="H47" i="1"/>
  <c r="E77" i="1"/>
  <c r="G77" i="1" s="1"/>
  <c r="E90" i="3"/>
  <c r="E42" i="3" l="1"/>
  <c r="K42" i="3"/>
  <c r="N42" i="3"/>
  <c r="I42" i="3"/>
  <c r="G42" i="3"/>
  <c r="F42" i="3"/>
  <c r="H42" i="3"/>
  <c r="J42" i="3"/>
  <c r="P42" i="3"/>
  <c r="L42" i="3"/>
  <c r="O42" i="3"/>
  <c r="F90" i="3"/>
  <c r="E133" i="1" s="1"/>
  <c r="Q40" i="3"/>
  <c r="E50" i="1" s="1"/>
  <c r="E80" i="1" s="1"/>
  <c r="Q36" i="3"/>
  <c r="R36" i="3" s="1"/>
  <c r="Q41" i="3"/>
  <c r="R41" i="3" s="1"/>
  <c r="Q43" i="3"/>
  <c r="M42" i="3"/>
  <c r="R31" i="3"/>
  <c r="F66" i="3"/>
  <c r="E75" i="3"/>
  <c r="F61" i="3"/>
  <c r="G52" i="3"/>
  <c r="G88" i="3"/>
  <c r="E136" i="1"/>
  <c r="G87" i="3"/>
  <c r="G83" i="3"/>
  <c r="G85" i="3"/>
  <c r="G84" i="3"/>
  <c r="G81" i="3"/>
  <c r="G89" i="3"/>
  <c r="G82" i="3"/>
  <c r="G86" i="3"/>
  <c r="R43" i="3" l="1"/>
  <c r="E52" i="1"/>
  <c r="E82" i="1" s="1"/>
  <c r="G82" i="1" s="1"/>
  <c r="E51" i="1"/>
  <c r="H51" i="1" s="1"/>
  <c r="Q42" i="3"/>
  <c r="R42" i="3" s="1"/>
  <c r="Q39" i="3"/>
  <c r="E48" i="1" s="1"/>
  <c r="E46" i="1"/>
  <c r="R40" i="3"/>
  <c r="G80" i="1"/>
  <c r="H50" i="1"/>
  <c r="E69" i="1"/>
  <c r="F69" i="1" s="1"/>
  <c r="G69" i="1" s="1"/>
  <c r="H69" i="1" s="1"/>
  <c r="I69" i="1" s="1"/>
  <c r="I50" i="1"/>
  <c r="H52" i="3"/>
  <c r="G61" i="3"/>
  <c r="G90" i="3"/>
  <c r="E115" i="1"/>
  <c r="B5" i="4"/>
  <c r="F75" i="3"/>
  <c r="G66" i="3"/>
  <c r="H52" i="1" l="1"/>
  <c r="I51" i="1"/>
  <c r="E70" i="1"/>
  <c r="F70" i="1" s="1"/>
  <c r="G70" i="1" s="1"/>
  <c r="H70" i="1" s="1"/>
  <c r="I70" i="1" s="1"/>
  <c r="E81" i="1"/>
  <c r="G81" i="1" s="1"/>
  <c r="R39" i="3"/>
  <c r="R44" i="3" s="1"/>
  <c r="R47" i="3" s="1"/>
  <c r="Q44" i="3"/>
  <c r="Q47" i="3" s="1"/>
  <c r="I46" i="1"/>
  <c r="E53" i="1"/>
  <c r="E76" i="1"/>
  <c r="G76" i="1" s="1"/>
  <c r="H46" i="1"/>
  <c r="E71" i="1"/>
  <c r="F71" i="1" s="1"/>
  <c r="G71" i="1" s="1"/>
  <c r="H71" i="1" s="1"/>
  <c r="I71" i="1" s="1"/>
  <c r="I52" i="1"/>
  <c r="H48" i="1"/>
  <c r="E78" i="1"/>
  <c r="G78" i="1" s="1"/>
  <c r="E67" i="1"/>
  <c r="I48" i="1"/>
  <c r="B11" i="4"/>
  <c r="B7" i="4"/>
  <c r="C10" i="4" s="1"/>
  <c r="G75" i="3"/>
  <c r="H66" i="3"/>
  <c r="I52" i="3"/>
  <c r="I61" i="3" s="1"/>
  <c r="H61" i="3"/>
  <c r="F115" i="1"/>
  <c r="C5" i="4"/>
  <c r="E72" i="1" l="1"/>
  <c r="E76" i="3" s="1"/>
  <c r="E77" i="3" s="1"/>
  <c r="E96" i="1" s="1"/>
  <c r="I53" i="1"/>
  <c r="E130" i="1" s="1"/>
  <c r="H53" i="1"/>
  <c r="B8" i="4"/>
  <c r="D5" i="4"/>
  <c r="G115" i="1"/>
  <c r="C7" i="4"/>
  <c r="D10" i="4" s="1"/>
  <c r="C11" i="4"/>
  <c r="H75" i="3"/>
  <c r="I66" i="3"/>
  <c r="I75" i="3" s="1"/>
  <c r="E83" i="1"/>
  <c r="E88" i="1" s="1"/>
  <c r="G83" i="1"/>
  <c r="F67" i="1"/>
  <c r="F72" i="1" s="1"/>
  <c r="E129" i="1" l="1"/>
  <c r="E137" i="1" s="1"/>
  <c r="E178" i="1"/>
  <c r="E176" i="1"/>
  <c r="E174" i="1"/>
  <c r="E180" i="1"/>
  <c r="E173" i="1"/>
  <c r="E179" i="1"/>
  <c r="E181" i="1"/>
  <c r="E177" i="1"/>
  <c r="E175" i="1"/>
  <c r="E132" i="1"/>
  <c r="E135" i="1" s="1"/>
  <c r="E116" i="1"/>
  <c r="E102" i="1"/>
  <c r="E156" i="1"/>
  <c r="C8" i="4"/>
  <c r="D11" i="4"/>
  <c r="D7" i="4"/>
  <c r="D8" i="4" s="1"/>
  <c r="F116" i="1"/>
  <c r="F76" i="3"/>
  <c r="F77" i="3" s="1"/>
  <c r="F96" i="1" s="1"/>
  <c r="G67" i="1"/>
  <c r="G72" i="1" s="1"/>
  <c r="I115" i="1"/>
  <c r="H115" i="1"/>
  <c r="G116" i="1" l="1"/>
  <c r="G76" i="3"/>
  <c r="G77" i="3" s="1"/>
  <c r="G96" i="1" s="1"/>
  <c r="I65" i="1"/>
  <c r="H67" i="1"/>
  <c r="I67" i="1" s="1"/>
  <c r="I72" i="1" l="1"/>
  <c r="H72" i="1"/>
  <c r="H76" i="3" l="1"/>
  <c r="H77" i="3" s="1"/>
  <c r="H96" i="1" s="1"/>
  <c r="H116" i="1"/>
  <c r="I116" i="1"/>
  <c r="I76" i="3"/>
  <c r="I77" i="3" s="1"/>
  <c r="I96" i="1" s="1"/>
  <c r="E44" i="3" l="1"/>
  <c r="E47" i="3" s="1"/>
  <c r="G44" i="3" l="1"/>
  <c r="G47" i="3" s="1"/>
  <c r="F44" i="3"/>
  <c r="F47" i="3" s="1"/>
  <c r="H44" i="3" l="1"/>
  <c r="H47" i="3" s="1"/>
  <c r="I44" i="3" l="1"/>
  <c r="I47" i="3" s="1"/>
  <c r="J44" i="3" l="1"/>
  <c r="J47" i="3" s="1"/>
  <c r="K44" i="3" l="1"/>
  <c r="K47" i="3" s="1"/>
  <c r="L44" i="3" l="1"/>
  <c r="L47" i="3" s="1"/>
  <c r="M44" i="3" l="1"/>
  <c r="M47" i="3" s="1"/>
  <c r="N44" i="3" l="1"/>
  <c r="N47" i="3" s="1"/>
  <c r="O44" i="3" l="1"/>
  <c r="O47" i="3" s="1"/>
  <c r="P44" i="3"/>
  <c r="P47" i="3" s="1"/>
  <c r="G40" i="1" l="1"/>
  <c r="F35" i="1"/>
  <c r="F36" i="1"/>
  <c r="E9" i="1"/>
  <c r="E117" i="1" s="1"/>
  <c r="F29" i="1"/>
  <c r="F37" i="1"/>
  <c r="E17" i="1" l="1"/>
  <c r="B21" i="4"/>
  <c r="B23" i="4" s="1"/>
  <c r="C20" i="4" s="1"/>
  <c r="C23" i="4" s="1"/>
  <c r="D20" i="4" s="1"/>
  <c r="D23" i="4" s="1"/>
  <c r="E122" i="1"/>
  <c r="E131" i="1"/>
  <c r="E139" i="1" s="1"/>
  <c r="E119" i="1"/>
  <c r="F117" i="1"/>
  <c r="B12" i="4"/>
  <c r="B13" i="4" s="1"/>
  <c r="B14" i="4" s="1"/>
  <c r="E19" i="1"/>
  <c r="E87" i="1" s="1"/>
  <c r="C12" i="4" l="1"/>
  <c r="C13" i="4" s="1"/>
  <c r="C14" i="4" s="1"/>
  <c r="G117" i="1"/>
  <c r="F122" i="1"/>
  <c r="F119" i="1"/>
  <c r="E138" i="1"/>
  <c r="H180" i="1"/>
  <c r="H177" i="1"/>
  <c r="H175" i="1"/>
  <c r="E140" i="1"/>
  <c r="H173" i="1"/>
  <c r="H178" i="1"/>
  <c r="H181" i="1"/>
  <c r="H179" i="1"/>
  <c r="H174" i="1"/>
  <c r="H176" i="1"/>
  <c r="E101" i="1"/>
  <c r="E107" i="1" s="1"/>
  <c r="E155" i="1"/>
  <c r="E157" i="1" s="1"/>
  <c r="E163" i="1" s="1"/>
  <c r="E89" i="1"/>
  <c r="E123" i="1"/>
  <c r="E120" i="1"/>
  <c r="E106" i="1" s="1"/>
  <c r="F120" i="1" l="1"/>
  <c r="F106" i="1" s="1"/>
  <c r="F107" i="1" s="1"/>
  <c r="E128" i="1"/>
  <c r="E95" i="1"/>
  <c r="E99" i="1" s="1"/>
  <c r="E108" i="1" s="1"/>
  <c r="F97" i="1" s="1"/>
  <c r="F99" i="1" s="1"/>
  <c r="F108" i="1" s="1"/>
  <c r="G97" i="1" s="1"/>
  <c r="G99" i="1" s="1"/>
  <c r="H117" i="1"/>
  <c r="G122" i="1"/>
  <c r="D12" i="4"/>
  <c r="D13" i="4" s="1"/>
  <c r="D14" i="4" s="1"/>
  <c r="G119" i="1"/>
  <c r="E121" i="1"/>
  <c r="H119" i="1" l="1"/>
  <c r="H122" i="1"/>
  <c r="I117" i="1"/>
  <c r="G120" i="1"/>
  <c r="G106" i="1" s="1"/>
  <c r="G107" i="1" s="1"/>
  <c r="G108" i="1" s="1"/>
  <c r="H97" i="1" s="1"/>
  <c r="H99" i="1" s="1"/>
  <c r="E124" i="1"/>
  <c r="E143" i="1"/>
  <c r="F121" i="1"/>
  <c r="E125" i="1" l="1"/>
  <c r="I122" i="1"/>
  <c r="I119" i="1"/>
  <c r="I139" i="1"/>
  <c r="H139" i="1"/>
  <c r="F143" i="1"/>
  <c r="H108" i="1"/>
  <c r="I97" i="1" s="1"/>
  <c r="I99" i="1" s="1"/>
  <c r="G121" i="1"/>
  <c r="E144" i="1"/>
  <c r="F124" i="1"/>
  <c r="F125" i="1" s="1"/>
  <c r="H120" i="1"/>
  <c r="H106" i="1" s="1"/>
  <c r="H107" i="1" s="1"/>
  <c r="H143" i="1" l="1"/>
  <c r="F144" i="1"/>
  <c r="G143" i="1"/>
  <c r="I140" i="1"/>
  <c r="H140" i="1"/>
  <c r="H121" i="1"/>
  <c r="H124" i="1" s="1"/>
  <c r="I120" i="1"/>
  <c r="I106" i="1" s="1"/>
  <c r="I107" i="1" s="1"/>
  <c r="I108" i="1" s="1"/>
  <c r="G124" i="1"/>
  <c r="G125" i="1" s="1"/>
  <c r="E145" i="1"/>
  <c r="H125" i="1" l="1"/>
  <c r="I121" i="1"/>
  <c r="I124" i="1" s="1"/>
  <c r="G144" i="1"/>
  <c r="H144" i="1"/>
  <c r="F145" i="1"/>
  <c r="H141" i="1"/>
  <c r="I141" i="1"/>
  <c r="I125" i="1" l="1"/>
  <c r="H145" i="1"/>
  <c r="G1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TUFAN   ATA TÜRKYILMAZ</author>
  </authors>
  <commentList>
    <comment ref="D2" authorId="0" shapeId="0" xr:uid="{00000000-0006-0000-0100-000001000000}">
      <text>
        <r>
          <rPr>
            <b/>
            <u/>
            <sz val="9"/>
            <color indexed="81"/>
            <rFont val="Tahoma"/>
            <family val="2"/>
          </rPr>
          <t>Tufan Ata TÜRKYILMAZ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Arial"/>
            <family val="2"/>
          </rPr>
          <t>TABLOLARI DOLDURURKEN KIRMIZI İLE GÖSTERİLEN FORMÜLLÜ ALANLARI DEĞİŞTİRMEYİNİZ. 
BOŞ ALANLARI DOLDURDUĞUNUZDA KIRMIZI İŞARETLİ ALANLAR OTOMATİK OLARAK DOLACAKTIR.</t>
        </r>
      </text>
    </comment>
    <comment ref="D5" authorId="0" shapeId="0" xr:uid="{00000000-0006-0000-0100-000002000000}">
      <text>
        <r>
          <rPr>
            <b/>
            <i/>
            <u/>
            <sz val="9"/>
            <color rgb="FF000000"/>
            <rFont val="Tahoma"/>
            <family val="2"/>
          </rPr>
          <t xml:space="preserve">TUFAN ATA TÜRKYILMAZ
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Arial"/>
            <family val="2"/>
          </rPr>
          <t xml:space="preserve">İŞLETMENİN AÇILIŞI YAPILIRKEN İHTİYAÇ DUYULAN TÜM HARCAMALAR YAZILACAKTIR. MAKİNE VE TEÇHİZAT GİDERLERİ İLE TOPLAM SABİT YATIRIM TUTARI AŞAĞIDAKİ TABLO DOLDURULDUĞUNDA OTOMATİK HESAPLANACAKTIR. </t>
        </r>
      </text>
    </comment>
    <comment ref="D6" authorId="0" shapeId="0" xr:uid="{00000000-0006-0000-0100-000003000000}">
      <text>
        <r>
          <rPr>
            <b/>
            <sz val="9"/>
            <color rgb="FF000000"/>
            <rFont val="Tahoma"/>
            <family val="2"/>
            <charset val="162"/>
          </rPr>
          <t>Tufan Ata TÜRKYILMAZ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TUTARLAR KDV DAH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 xml:space="preserve">L YAZILACAKTIR. </t>
        </r>
      </text>
    </comment>
    <comment ref="D9" authorId="1" shapeId="0" xr:uid="{00000000-0006-0000-0100-000004000000}">
      <text>
        <r>
          <rPr>
            <b/>
            <sz val="9"/>
            <color rgb="FF000000"/>
            <rFont val="Calibri"/>
            <family val="2"/>
            <charset val="162"/>
          </rPr>
          <t>TUFAN   ATA TÜRKYILMAZ:</t>
        </r>
        <r>
          <rPr>
            <sz val="9"/>
            <color rgb="FF000000"/>
            <rFont val="Calibri"/>
            <family val="2"/>
            <charset val="162"/>
          </rPr>
          <t xml:space="preserve">
</t>
        </r>
        <r>
          <rPr>
            <sz val="9"/>
            <color rgb="FF000000"/>
            <rFont val="Calibri"/>
            <family val="2"/>
            <charset val="162"/>
          </rPr>
          <t xml:space="preserve">Makine, Techizat, Yazılım ve Ofis Donanım Giderleri tablosu doldurulduğunda otomatik olarak güncellenecetir. 
</t>
        </r>
      </text>
    </comment>
    <comment ref="D16" authorId="1" shapeId="0" xr:uid="{00000000-0006-0000-0100-000005000000}">
      <text>
        <r>
          <rPr>
            <b/>
            <sz val="9"/>
            <color rgb="FF000000"/>
            <rFont val="Calibri"/>
            <family val="2"/>
            <charset val="162"/>
          </rPr>
          <t>TUFAN   ATA TÜRKYILMAZ:</t>
        </r>
        <r>
          <rPr>
            <sz val="9"/>
            <color rgb="FF000000"/>
            <rFont val="Calibri"/>
            <family val="2"/>
            <charset val="162"/>
          </rPr>
          <t xml:space="preserve">
</t>
        </r>
        <r>
          <rPr>
            <sz val="9"/>
            <color rgb="FF000000"/>
            <rFont val="Calibri"/>
            <family val="2"/>
            <charset val="162"/>
          </rPr>
          <t xml:space="preserve">Kuruluş Dönemi Masrafları Sekmesi doldurulduğunda güncellenecektir. </t>
        </r>
      </text>
    </comment>
    <comment ref="D21" authorId="0" shapeId="0" xr:uid="{00000000-0006-0000-0100-000006000000}">
      <text>
        <r>
          <rPr>
            <b/>
            <i/>
            <u/>
            <sz val="9"/>
            <color rgb="FF000000"/>
            <rFont val="Tahoma"/>
            <family val="2"/>
          </rPr>
          <t>TUFAN ATA TÜRKYILMAZ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Noteworthy Bold"/>
            <family val="2"/>
            <charset val="162"/>
          </rPr>
          <t>İŞ</t>
        </r>
        <r>
          <rPr>
            <sz val="9"/>
            <color rgb="FF000000"/>
            <rFont val="Tahoma"/>
            <family val="2"/>
            <charset val="162"/>
          </rPr>
          <t>LETMEN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Z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 xml:space="preserve"> AÇARKEN ALDI</t>
        </r>
        <r>
          <rPr>
            <sz val="9"/>
            <color rgb="FF000000"/>
            <rFont val="Noteworthy Bold"/>
            <family val="2"/>
            <charset val="162"/>
          </rPr>
          <t>Ğ</t>
        </r>
        <r>
          <rPr>
            <sz val="9"/>
            <color rgb="FF000000"/>
            <rFont val="Tahoma"/>
            <family val="2"/>
            <charset val="162"/>
          </rPr>
          <t>INIZ VE ALMAYI PLANLADI</t>
        </r>
        <r>
          <rPr>
            <sz val="9"/>
            <color rgb="FF000000"/>
            <rFont val="Noteworthy Bold"/>
            <family val="2"/>
            <charset val="162"/>
          </rPr>
          <t>Ğ</t>
        </r>
        <r>
          <rPr>
            <sz val="9"/>
            <color rgb="FF000000"/>
            <rFont val="Tahoma"/>
            <family val="2"/>
            <charset val="162"/>
          </rPr>
          <t>INIZ TÜM MAK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NE, TEÇH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ZAT, YAZILIM VE OF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S DONANIM G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DERLER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N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N ADLARI, M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KTARLARI VE B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R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M F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 xml:space="preserve">YATLARI </t>
        </r>
        <r>
          <rPr>
            <b/>
            <u/>
            <sz val="12"/>
            <color rgb="FF000000"/>
            <rFont val="Tahoma"/>
            <family val="2"/>
            <charset val="162"/>
          </rPr>
          <t>KDV HAR</t>
        </r>
        <r>
          <rPr>
            <b/>
            <u/>
            <sz val="12"/>
            <color rgb="FF000000"/>
            <rFont val="Noteworthy Bold"/>
            <family val="2"/>
            <charset val="162"/>
          </rPr>
          <t>İ</t>
        </r>
        <r>
          <rPr>
            <b/>
            <u/>
            <sz val="12"/>
            <color rgb="FF000000"/>
            <rFont val="Tahoma"/>
            <family val="2"/>
            <charset val="162"/>
          </rPr>
          <t>Ç</t>
        </r>
        <r>
          <rPr>
            <sz val="9"/>
            <color rgb="FF000000"/>
            <rFont val="Tahoma"/>
            <family val="2"/>
            <charset val="162"/>
          </rPr>
          <t xml:space="preserve"> OLARAK YAZILMALIDIR.</t>
        </r>
      </text>
    </comment>
    <comment ref="D44" authorId="1" shapeId="0" xr:uid="{00000000-0006-0000-0100-000007000000}">
      <text>
        <r>
          <rPr>
            <b/>
            <i/>
            <u/>
            <sz val="10"/>
            <color rgb="FF000000"/>
            <rFont val="Calibri"/>
            <family val="2"/>
          </rPr>
          <t>TUFAN   ATA TÜRKYILMAZ: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İŞLETMENİZİN BİR YILLIK TAHMİNİ GİDERLERİ KDV DAHİL OLARAK YAZILMALIDIR. 
</t>
        </r>
        <r>
          <rPr>
            <sz val="10"/>
            <color rgb="FF000000"/>
            <rFont val="Calibri"/>
            <family val="2"/>
          </rPr>
          <t>PERSONEL İÇİN AŞAĞIDAKİ TABLO DOLDURULDUĞUNDA İLGİLİ HÜCRE OTOMATİK DOLACAKTIR.</t>
        </r>
      </text>
    </comment>
    <comment ref="D46" authorId="0" shapeId="0" xr:uid="{00000000-0006-0000-0100-000008000000}">
      <text>
        <r>
          <rPr>
            <b/>
            <u/>
            <sz val="9"/>
            <color indexed="81"/>
            <rFont val="Tahoma"/>
            <family val="2"/>
          </rPr>
          <t xml:space="preserve">TUFAN ATA TÜRKYILMAZ
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Arial"/>
            <family val="2"/>
          </rPr>
          <t xml:space="preserve">BURAYA BİR YILLIK İŞLETME MALZEMESİ GİDERİ YAZILMALIDIR. İMALAT YAPILIYORSA HAMMADDE, YARDIMCI MALZEME VB., TİCARET YAPILIYORSA SATILACAK ÜRÜNLERİN ALIŞ FİYATI TOPLAMLARI, SARF MALZEMELERİ VB. YAZILMALIDIR. </t>
        </r>
      </text>
    </comment>
    <comment ref="D55" authorId="0" shapeId="0" xr:uid="{00000000-0006-0000-0100-000009000000}">
      <text>
        <r>
          <rPr>
            <b/>
            <sz val="9"/>
            <color rgb="FF000000"/>
            <rFont val="Tahoma"/>
            <family val="2"/>
            <charset val="162"/>
          </rPr>
          <t>user: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 xml:space="preserve">ALINACAK PERSONELİN GÖREVİ PARANTEZ İÇİNE YAZILABİLİR. SAYISI VE BRÜT MAAŞI YAZILDIĞINDA İLGİLİ KIRMIZI HÜCRELER OTOMATİK DOLACAKTIR.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3" authorId="0" shapeId="0" xr:uid="{00000000-0006-0000-0200-000001000000}">
      <text>
        <r>
          <rPr>
            <b/>
            <i/>
            <u/>
            <sz val="9"/>
            <color rgb="FF000000"/>
            <rFont val="Tahoma"/>
            <family val="2"/>
          </rPr>
          <t>TUFAN ATA TÜRKYILMAZ</t>
        </r>
        <r>
          <rPr>
            <b/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 xml:space="preserve">BU TABLOYA 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 xml:space="preserve">MALATÇI 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SEN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Z ÜRETT</t>
        </r>
        <r>
          <rPr>
            <sz val="9"/>
            <color rgb="FF000000"/>
            <rFont val="Noteworthy Bold"/>
            <family val="2"/>
            <charset val="162"/>
          </rPr>
          <t>İĞİ</t>
        </r>
        <r>
          <rPr>
            <sz val="9"/>
            <color rgb="FF000000"/>
            <rFont val="Tahoma"/>
            <family val="2"/>
            <charset val="162"/>
          </rPr>
          <t>N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Z ÜRÜNLER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 xml:space="preserve"> UYGUN GRUPLAR HAL</t>
        </r>
        <r>
          <rPr>
            <sz val="9"/>
            <color rgb="FF000000"/>
            <rFont val="Noteworthy Bold"/>
            <family val="2"/>
            <charset val="162"/>
          </rPr>
          <t xml:space="preserve">İNDE TANIMLAYIP </t>
        </r>
        <r>
          <rPr>
            <sz val="9"/>
            <color rgb="FF000000"/>
            <rFont val="Tahoma"/>
            <family val="2"/>
            <charset val="162"/>
          </rPr>
          <t>YAZAB</t>
        </r>
        <r>
          <rPr>
            <sz val="9"/>
            <color rgb="FF000000"/>
            <rFont val="Noteworthy Bold"/>
            <family val="2"/>
            <charset val="162"/>
          </rPr>
          <t xml:space="preserve">İLİRSİNİZ.
</t>
        </r>
        <r>
          <rPr>
            <sz val="9"/>
            <color rgb="FF000000"/>
            <rFont val="Tahoma"/>
            <family val="2"/>
            <charset val="162"/>
          </rPr>
          <t>BUNLARDAN YILDA NE KADAR HASILAT BEKL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YORSANIZ (C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RO, TOPLAM SATI</t>
        </r>
        <r>
          <rPr>
            <sz val="9"/>
            <color rgb="FF000000"/>
            <rFont val="Noteworthy Bold"/>
            <family val="2"/>
            <charset val="162"/>
          </rPr>
          <t>Ş</t>
        </r>
        <r>
          <rPr>
            <sz val="9"/>
            <color rgb="FF000000"/>
            <rFont val="Tahoma"/>
            <family val="2"/>
            <charset val="162"/>
          </rPr>
          <t xml:space="preserve"> RAKAMI) ONU YAZMALISINIZ. ÖRNE</t>
        </r>
        <r>
          <rPr>
            <sz val="9"/>
            <color rgb="FF000000"/>
            <rFont val="Noteworthy Bold"/>
            <family val="2"/>
            <charset val="162"/>
          </rPr>
          <t>Ğİ</t>
        </r>
        <r>
          <rPr>
            <sz val="9"/>
            <color rgb="FF000000"/>
            <rFont val="Tahoma"/>
            <family val="2"/>
            <charset val="162"/>
          </rPr>
          <t>N B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 xml:space="preserve">R LOKANTA 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SEN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Z B</t>
        </r>
        <r>
          <rPr>
            <sz val="9"/>
            <color rgb="FF000000"/>
            <rFont val="Noteworthy Bold"/>
            <family val="2"/>
            <charset val="162"/>
          </rPr>
          <t>İRİNCİ GRUP</t>
        </r>
        <r>
          <rPr>
            <sz val="9"/>
            <color rgb="FF000000"/>
            <rFont val="Tahoma"/>
            <family val="2"/>
            <charset val="162"/>
          </rPr>
          <t xml:space="preserve"> ÜRÜNÜNÜZ SULU YEMEKLER, </t>
        </r>
        <r>
          <rPr>
            <sz val="9"/>
            <color rgb="FF000000"/>
            <rFont val="Noteworthy Bold"/>
            <family val="2"/>
            <charset val="162"/>
          </rPr>
          <t>İKİNCİ</t>
        </r>
        <r>
          <rPr>
            <sz val="9"/>
            <color rgb="FF000000"/>
            <rFont val="Tahoma"/>
            <family val="2"/>
            <charset val="162"/>
          </rPr>
          <t xml:space="preserve"> GRUP ÜRÜNÜNÜZ KEBAPLAR ÜÇÜNCÜ GRUP ÜRÜN SALATALAR VB. OLARAK YAZILAB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L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 xml:space="preserve">R. 
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</text>
    </comment>
    <comment ref="C19" authorId="0" shapeId="0" xr:uid="{00000000-0006-0000-0200-000002000000}">
      <text>
        <r>
          <rPr>
            <b/>
            <i/>
            <u/>
            <sz val="9"/>
            <color rgb="FF000000"/>
            <rFont val="Tahoma"/>
            <family val="2"/>
          </rPr>
          <t>TUFAN ATA TÜRKYILMAZ</t>
        </r>
        <r>
          <rPr>
            <b/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 xml:space="preserve">BU TABLOYA 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 xml:space="preserve">MALATÇI 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SEN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Z ÜRETT</t>
        </r>
        <r>
          <rPr>
            <sz val="9"/>
            <color rgb="FF000000"/>
            <rFont val="Noteworthy Bold"/>
            <family val="2"/>
            <charset val="162"/>
          </rPr>
          <t>İĞİ</t>
        </r>
        <r>
          <rPr>
            <sz val="9"/>
            <color rgb="FF000000"/>
            <rFont val="Tahoma"/>
            <family val="2"/>
            <charset val="162"/>
          </rPr>
          <t>N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Z ÜRÜNLER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 xml:space="preserve"> UYGUN GRUPLAR HAL</t>
        </r>
        <r>
          <rPr>
            <sz val="9"/>
            <color rgb="FF000000"/>
            <rFont val="Noteworthy Bold"/>
            <family val="2"/>
            <charset val="162"/>
          </rPr>
          <t xml:space="preserve">İNDE TANIMLAYIP </t>
        </r>
        <r>
          <rPr>
            <sz val="9"/>
            <color rgb="FF000000"/>
            <rFont val="Tahoma"/>
            <family val="2"/>
            <charset val="162"/>
          </rPr>
          <t>YAZAB</t>
        </r>
        <r>
          <rPr>
            <sz val="9"/>
            <color rgb="FF000000"/>
            <rFont val="Noteworthy Bold"/>
            <family val="2"/>
            <charset val="162"/>
          </rPr>
          <t xml:space="preserve">İLİRSİNİZ.
</t>
        </r>
        <r>
          <rPr>
            <sz val="9"/>
            <color rgb="FF000000"/>
            <rFont val="Tahoma"/>
            <family val="2"/>
            <charset val="162"/>
          </rPr>
          <t>BUNLARDAN YILDA NE KADAR HASILAT BEKL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YORSANIZ (C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RO, TOPLAM SATI</t>
        </r>
        <r>
          <rPr>
            <sz val="9"/>
            <color rgb="FF000000"/>
            <rFont val="Noteworthy Bold"/>
            <family val="2"/>
            <charset val="162"/>
          </rPr>
          <t>Ş</t>
        </r>
        <r>
          <rPr>
            <sz val="9"/>
            <color rgb="FF000000"/>
            <rFont val="Tahoma"/>
            <family val="2"/>
            <charset val="162"/>
          </rPr>
          <t xml:space="preserve"> RAKAMI) ONU YAZMALISINIZ. ÖRNE</t>
        </r>
        <r>
          <rPr>
            <sz val="9"/>
            <color rgb="FF000000"/>
            <rFont val="Noteworthy Bold"/>
            <family val="2"/>
            <charset val="162"/>
          </rPr>
          <t>Ğİ</t>
        </r>
        <r>
          <rPr>
            <sz val="9"/>
            <color rgb="FF000000"/>
            <rFont val="Tahoma"/>
            <family val="2"/>
            <charset val="162"/>
          </rPr>
          <t>N B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 xml:space="preserve">R LOKANTA 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SEN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Z B</t>
        </r>
        <r>
          <rPr>
            <sz val="9"/>
            <color rgb="FF000000"/>
            <rFont val="Noteworthy Bold"/>
            <family val="2"/>
            <charset val="162"/>
          </rPr>
          <t>İRİNCİ GRUP</t>
        </r>
        <r>
          <rPr>
            <sz val="9"/>
            <color rgb="FF000000"/>
            <rFont val="Tahoma"/>
            <family val="2"/>
            <charset val="162"/>
          </rPr>
          <t xml:space="preserve"> ÜRÜNÜNÜZ SULU YEMEKLER, </t>
        </r>
        <r>
          <rPr>
            <sz val="9"/>
            <color rgb="FF000000"/>
            <rFont val="Noteworthy Bold"/>
            <family val="2"/>
            <charset val="162"/>
          </rPr>
          <t>İKİNCİ</t>
        </r>
        <r>
          <rPr>
            <sz val="9"/>
            <color rgb="FF000000"/>
            <rFont val="Tahoma"/>
            <family val="2"/>
            <charset val="162"/>
          </rPr>
          <t xml:space="preserve"> GRUP ÜRÜNÜNÜZ KEBAPLAR ÜÇÜNCÜ GRUP ÜRÜN SALATALAR VB. OLARAK YAZILAB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L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 xml:space="preserve">R. 
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</text>
    </comment>
    <comment ref="C34" authorId="0" shapeId="0" xr:uid="{00000000-0006-0000-0200-000003000000}">
      <text>
        <r>
          <rPr>
            <b/>
            <i/>
            <u/>
            <sz val="9"/>
            <color rgb="FF000000"/>
            <rFont val="Tahoma"/>
            <family val="2"/>
          </rPr>
          <t>TUFAN ATA TÜRKYILMAZ</t>
        </r>
        <r>
          <rPr>
            <b/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 xml:space="preserve">BU TABLOYA 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 xml:space="preserve">MALATÇI 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SEN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Z ÜRETT</t>
        </r>
        <r>
          <rPr>
            <sz val="9"/>
            <color rgb="FF000000"/>
            <rFont val="Noteworthy Bold"/>
            <family val="2"/>
            <charset val="162"/>
          </rPr>
          <t>İĞİ</t>
        </r>
        <r>
          <rPr>
            <sz val="9"/>
            <color rgb="FF000000"/>
            <rFont val="Tahoma"/>
            <family val="2"/>
            <charset val="162"/>
          </rPr>
          <t>N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Z ÜRÜNLER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 xml:space="preserve"> UYGUN GRUPLAR HAL</t>
        </r>
        <r>
          <rPr>
            <sz val="9"/>
            <color rgb="FF000000"/>
            <rFont val="Noteworthy Bold"/>
            <family val="2"/>
            <charset val="162"/>
          </rPr>
          <t xml:space="preserve">İNDE TANIMLAYIP </t>
        </r>
        <r>
          <rPr>
            <sz val="9"/>
            <color rgb="FF000000"/>
            <rFont val="Tahoma"/>
            <family val="2"/>
            <charset val="162"/>
          </rPr>
          <t>YAZAB</t>
        </r>
        <r>
          <rPr>
            <sz val="9"/>
            <color rgb="FF000000"/>
            <rFont val="Noteworthy Bold"/>
            <family val="2"/>
            <charset val="162"/>
          </rPr>
          <t xml:space="preserve">İLİRSİNİZ.
</t>
        </r>
        <r>
          <rPr>
            <sz val="9"/>
            <color rgb="FF000000"/>
            <rFont val="Tahoma"/>
            <family val="2"/>
            <charset val="162"/>
          </rPr>
          <t>BUNLARDAN YILDA NE KADAR HASILAT BEKL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YORSANIZ (C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RO, TOPLAM SATI</t>
        </r>
        <r>
          <rPr>
            <sz val="9"/>
            <color rgb="FF000000"/>
            <rFont val="Noteworthy Bold"/>
            <family val="2"/>
            <charset val="162"/>
          </rPr>
          <t>Ş</t>
        </r>
        <r>
          <rPr>
            <sz val="9"/>
            <color rgb="FF000000"/>
            <rFont val="Tahoma"/>
            <family val="2"/>
            <charset val="162"/>
          </rPr>
          <t xml:space="preserve"> RAKAMI) ONU YAZMALISINIZ. ÖRNE</t>
        </r>
        <r>
          <rPr>
            <sz val="9"/>
            <color rgb="FF000000"/>
            <rFont val="Noteworthy Bold"/>
            <family val="2"/>
            <charset val="162"/>
          </rPr>
          <t>Ğİ</t>
        </r>
        <r>
          <rPr>
            <sz val="9"/>
            <color rgb="FF000000"/>
            <rFont val="Tahoma"/>
            <family val="2"/>
            <charset val="162"/>
          </rPr>
          <t>N B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 xml:space="preserve">R LOKANTA 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SEN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Z B</t>
        </r>
        <r>
          <rPr>
            <sz val="9"/>
            <color rgb="FF000000"/>
            <rFont val="Noteworthy Bold"/>
            <family val="2"/>
            <charset val="162"/>
          </rPr>
          <t>İRİNCİ GRUP</t>
        </r>
        <r>
          <rPr>
            <sz val="9"/>
            <color rgb="FF000000"/>
            <rFont val="Tahoma"/>
            <family val="2"/>
            <charset val="162"/>
          </rPr>
          <t xml:space="preserve"> ÜRÜNÜNÜZ SULU YEMEKLER, </t>
        </r>
        <r>
          <rPr>
            <sz val="9"/>
            <color rgb="FF000000"/>
            <rFont val="Noteworthy Bold"/>
            <family val="2"/>
            <charset val="162"/>
          </rPr>
          <t>İKİNCİ</t>
        </r>
        <r>
          <rPr>
            <sz val="9"/>
            <color rgb="FF000000"/>
            <rFont val="Tahoma"/>
            <family val="2"/>
            <charset val="162"/>
          </rPr>
          <t xml:space="preserve"> GRUP ÜRÜNÜNÜZ KEBAPLAR ÜÇÜNCÜ GRUP ÜRÜN SALATALAR VB. OLARAK YAZILAB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>L</t>
        </r>
        <r>
          <rPr>
            <sz val="9"/>
            <color rgb="FF000000"/>
            <rFont val="Noteworthy Bold"/>
            <family val="2"/>
            <charset val="162"/>
          </rPr>
          <t>İ</t>
        </r>
        <r>
          <rPr>
            <sz val="9"/>
            <color rgb="FF000000"/>
            <rFont val="Tahoma"/>
            <family val="2"/>
            <charset val="162"/>
          </rPr>
          <t xml:space="preserve">R. 
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</text>
    </comment>
    <comment ref="C36" authorId="0" shapeId="0" xr:uid="{CD2A179D-5E9E-B94C-BB6A-FDF03D5BF44F}">
      <text>
        <r>
          <rPr>
            <b/>
            <u/>
            <sz val="9"/>
            <color rgb="FF000000"/>
            <rFont val="Tahoma"/>
            <family val="2"/>
          </rPr>
          <t xml:space="preserve">TUFAN ATA TÜRKYILMAZ
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Arial"/>
            <family val="2"/>
          </rPr>
          <t xml:space="preserve">BURAYA BİR YILLIK İŞLETME MALZEMESİ GİDERİ YAZILMALIDIR. İMALAT YAPILIYORSA HAMMADDE, YARDIMCI MALZEME VB., TİCARET YAPILIYORSA SATILACAK ÜRÜNLERİN ALIŞ FİYATI TOPLAMLARI, SARF MALZEMELERİ VB. YAZILMALIDIR. </t>
        </r>
      </text>
    </comment>
  </commentList>
</comments>
</file>

<file path=xl/sharedStrings.xml><?xml version="1.0" encoding="utf-8"?>
<sst xmlns="http://schemas.openxmlformats.org/spreadsheetml/2006/main" count="337" uniqueCount="280">
  <si>
    <t>BAŞLANGIÇ SABİT YATIRIM SERMAYESİ İHTİYACI TABLOSU</t>
  </si>
  <si>
    <t>YATIRIM HARCAMALARI</t>
  </si>
  <si>
    <t>TUTAR</t>
  </si>
  <si>
    <t>AÇIKLAMA</t>
  </si>
  <si>
    <t>ARAZİ BEDELİ</t>
  </si>
  <si>
    <t>Satınalınan arazi için ödemeler</t>
  </si>
  <si>
    <t>ETÜT PROJE GİDERLERİ</t>
  </si>
  <si>
    <t>Yaptırılacak danışmanlık, projelendirme masrafları</t>
  </si>
  <si>
    <t>MAKİNE, TEÇHİZAT, YAZILIM VE OFİS DONANIM GİDERLERİ (YERLİ-İTHAL)</t>
  </si>
  <si>
    <t>Makine ekipman, ofis malzemeleri ödemeleri.</t>
  </si>
  <si>
    <t>BİNA İNŞAAT GİDERLERİ</t>
  </si>
  <si>
    <t>Yaptırılan inşaat, tadilat, boya, tesisat masrafları.</t>
  </si>
  <si>
    <t>İTHALAT VE GÜMRÜKLEME GİDERLERİ</t>
  </si>
  <si>
    <t>Yurtdışından alınan makine, ekipman gümrükleme masrafları</t>
  </si>
  <si>
    <t>TAŞIMA VE SİGORTA GİDERLERİ</t>
  </si>
  <si>
    <t>Makinelerin taşıma ve sigorta masrafları</t>
  </si>
  <si>
    <t>MONTAJ GİDERLERİ</t>
  </si>
  <si>
    <t>Makinelerin montaj masrafları</t>
  </si>
  <si>
    <t>İŞLETMEYE ALMA GİDERLERİ</t>
  </si>
  <si>
    <t>Deneme üretimi ile ilgili masrafları</t>
  </si>
  <si>
    <t>LİSANS GİDERLERİ</t>
  </si>
  <si>
    <t>Yazılım lisansları, bayilik lisansları ile ilgili masraflar</t>
  </si>
  <si>
    <t>KURULUŞ İŞLEMLERİ VE HARÇ MASRAFLARI</t>
  </si>
  <si>
    <t>İşletmenin kurulumu için yapılan resmi masraflar</t>
  </si>
  <si>
    <t>BEKLENMEYEN GİDERLER</t>
  </si>
  <si>
    <t>Buraya kadar yapılması planlanan masrafların % 5'i</t>
  </si>
  <si>
    <t>DİĞER GİDERLER</t>
  </si>
  <si>
    <t>Diğer hiçbir  harcama kalemine dahil olmayan harcamalar</t>
  </si>
  <si>
    <t>TOPLAM SABİT YATIRIM</t>
  </si>
  <si>
    <t xml:space="preserve">MAKİNE, TEÇHİZAT, YAZILIM VE OFİS DONANIM GİDERLERİ </t>
  </si>
  <si>
    <t>HARCAMA ADI</t>
  </si>
  <si>
    <t>TOPLAM</t>
  </si>
  <si>
    <t>GİDER KALEMLERİ</t>
  </si>
  <si>
    <t>Toplam Harcama</t>
  </si>
  <si>
    <t>% Sabit / Değişken</t>
  </si>
  <si>
    <t>Sabit Giderler</t>
  </si>
  <si>
    <t>Değişken Giderler</t>
  </si>
  <si>
    <t>% Sabit</t>
  </si>
  <si>
    <t>% Değişken</t>
  </si>
  <si>
    <t>HAMMADDE VE İŞLETME MALZEMELERİ</t>
  </si>
  <si>
    <t>KİRA</t>
  </si>
  <si>
    <t>ELEKTRİK</t>
  </si>
  <si>
    <t>PERSONEL</t>
  </si>
  <si>
    <t>PAZARLAMA SATIŞ DAĞITIM GİDERLERİ</t>
  </si>
  <si>
    <t>AMBALAJ PAKETLEME GİDERLERİ</t>
  </si>
  <si>
    <t>NAKLİYE GİDERİ</t>
  </si>
  <si>
    <t>GÖREV</t>
  </si>
  <si>
    <t>SAYI</t>
  </si>
  <si>
    <t>BRÜT MAAŞ</t>
  </si>
  <si>
    <t>YILLIK TOPLAM</t>
  </si>
  <si>
    <t>OFİS PERSONELİ</t>
  </si>
  <si>
    <t>ÜRETİM PERSONELİ</t>
  </si>
  <si>
    <t xml:space="preserve"> GENEL TOPLAM</t>
  </si>
  <si>
    <t xml:space="preserve">5 YILLIK İŞLETME GİDERLERİ TABLOSU OTOMATİK OLARAK HESAPLANMAKTADIR. </t>
  </si>
  <si>
    <t>5 YILLIK İŞLETME GİDERLERİ TABLOSU</t>
  </si>
  <si>
    <t>TAHMİNİ BÜYÜME ORANI</t>
  </si>
  <si>
    <t>1.YIL</t>
  </si>
  <si>
    <t>2.YIL</t>
  </si>
  <si>
    <t>3.YIL</t>
  </si>
  <si>
    <t>4.YIL</t>
  </si>
  <si>
    <t>5.YIL</t>
  </si>
  <si>
    <t xml:space="preserve">İŞLETME SERMAYESİ TABLOSU OTOMATİK OLARAK HESAPLANMAKTADIR. </t>
  </si>
  <si>
    <t>İŞLETME SERMAYESİ TABLOSU</t>
  </si>
  <si>
    <t>İŞLETME SERMAYESİ KALEMLERİ</t>
  </si>
  <si>
    <t>YILLIK İŞLETME GİDERLERİ</t>
  </si>
  <si>
    <t>SÜRE</t>
  </si>
  <si>
    <t>İŞLETME SERMAYESİ İHTİYACI</t>
  </si>
  <si>
    <t>1 AYLIK</t>
  </si>
  <si>
    <t>GENEL TOPLAM</t>
  </si>
  <si>
    <t xml:space="preserve">TOPLAM YATIRIM İHTİYACI OTOMATİK OLARAK HESAPLANMAKTADIR. </t>
  </si>
  <si>
    <t>TOPLAM YATIRIM İHTİYACI</t>
  </si>
  <si>
    <t>SABİT YATIRIM SERMAYESİ</t>
  </si>
  <si>
    <t>İŞLETME SERMAYESİ</t>
  </si>
  <si>
    <t>TOPLAM YATIRIM</t>
  </si>
  <si>
    <t>YILLAR</t>
  </si>
  <si>
    <t>NAKİT GİRİŞLERİ</t>
  </si>
  <si>
    <t>1. YIL</t>
  </si>
  <si>
    <t>2. YIL</t>
  </si>
  <si>
    <t>3. YIL</t>
  </si>
  <si>
    <t>4. YIL</t>
  </si>
  <si>
    <t>5. YIL</t>
  </si>
  <si>
    <t>YATIRIM KREDİSİ</t>
  </si>
  <si>
    <t>ÖZKAYNAK</t>
  </si>
  <si>
    <t>İŞLETME GELİR GİDER FARKI</t>
  </si>
  <si>
    <t>YILBAŞI ELDEKİ NAKİT</t>
  </si>
  <si>
    <t>HURDA DEĞER</t>
  </si>
  <si>
    <t>NAKİT GİRİŞLERİ TOPLAMI (1,2,3,4)</t>
  </si>
  <si>
    <t xml:space="preserve">NAKİT ÇIKIŞLARI          </t>
  </si>
  <si>
    <t>SABİT YATIRIM TOPLAMI</t>
  </si>
  <si>
    <t>KRED FAİZ ÖDEMELERİ</t>
  </si>
  <si>
    <t>KREDİ ANA PARA ÖDEMELERİ</t>
  </si>
  <si>
    <t>KREDİ ÖDEME TOPLAMI</t>
  </si>
  <si>
    <t>VERGİLER</t>
  </si>
  <si>
    <t>NAKİT ÇIKIŞLARI TOPLAMI</t>
  </si>
  <si>
    <t>YILSONU ELDEKİ NAKİT</t>
  </si>
  <si>
    <t xml:space="preserve">KARA GEÇİŞ NOKTASI TABLOSU OTOMATİK OLARAK HESAPLANMAKTADIR. </t>
  </si>
  <si>
    <t>KÂRA GEÇİŞ NOKTASI</t>
  </si>
  <si>
    <t>SATIŞ GELİRLERİ</t>
  </si>
  <si>
    <t>İŞLETME GİDERLERİ</t>
  </si>
  <si>
    <t>AMORTİSMANLAR</t>
  </si>
  <si>
    <t>VERGİ ÖNCESİ KAR</t>
  </si>
  <si>
    <t>VERGİ SONRASI KAR</t>
  </si>
  <si>
    <t>NET NAKİT AKIMLAR</t>
  </si>
  <si>
    <t>BAŞABAŞ NOKTASI SATIŞ HESABI</t>
  </si>
  <si>
    <t>Başlanıç Sabit Yatırım Sermayesi</t>
  </si>
  <si>
    <t>İşletmenin Sabit Giderleri</t>
  </si>
  <si>
    <t xml:space="preserve">İşletme Değişken Giderleri </t>
  </si>
  <si>
    <t>İşletme Yıllık Brüt Satışlar</t>
  </si>
  <si>
    <t>Birim Satış Fiyatı</t>
  </si>
  <si>
    <t>Birim Değişken Gider</t>
  </si>
  <si>
    <r>
      <t xml:space="preserve">Başa Baş Noktası </t>
    </r>
    <r>
      <rPr>
        <b/>
        <sz val="14"/>
        <color indexed="8"/>
        <rFont val="Arial"/>
        <family val="2"/>
      </rPr>
      <t>(TL)</t>
    </r>
    <r>
      <rPr>
        <sz val="14"/>
        <color indexed="8"/>
        <rFont val="Arial"/>
        <family val="2"/>
        <charset val="162"/>
      </rPr>
      <t xml:space="preserve"> =                                 </t>
    </r>
  </si>
  <si>
    <t xml:space="preserve">İŞLETME FİNANSMAN YAPISI TABLOSU OTOMATİK OLARAK HESAPLANMAKTADIR. </t>
  </si>
  <si>
    <t>İŞLETME FİNANSMAN YAPISI</t>
  </si>
  <si>
    <t>1.YIL TOPLAMI</t>
  </si>
  <si>
    <t>FİNANSMAN İHTİYACI</t>
  </si>
  <si>
    <t>BAŞLANGIÇ YATIRIMI</t>
  </si>
  <si>
    <t>TOPLAM FİNANSMAN İHTİYACI</t>
  </si>
  <si>
    <t>FİNANSMAN KAYNAKLARI</t>
  </si>
  <si>
    <t>ÖZKAYNAKLAR</t>
  </si>
  <si>
    <t xml:space="preserve">İşletme iç dinamiklerinden bağımsız, sermaye olarak eklenecek ilave kaynakları içerir. </t>
  </si>
  <si>
    <t>BORÇLAR</t>
  </si>
  <si>
    <t>KOSGEB DESTEKLERİ</t>
  </si>
  <si>
    <t>KREDİLER</t>
  </si>
  <si>
    <t xml:space="preserve">TOPLAM FİNANSMAN </t>
  </si>
  <si>
    <t xml:space="preserve">A  Y  L  A  R  </t>
  </si>
  <si>
    <t>Ürün/Hizmet Adı</t>
  </si>
  <si>
    <t xml:space="preserve">TOPLAM   </t>
  </si>
  <si>
    <t xml:space="preserve"> </t>
  </si>
  <si>
    <t>Tahmini Büyüme Oranı</t>
  </si>
  <si>
    <t>Ürün Hizmet</t>
  </si>
  <si>
    <t xml:space="preserve">Yıllar </t>
    <phoneticPr fontId="12" type="noConversion"/>
  </si>
  <si>
    <t>İşletme Satış Toplamı</t>
  </si>
  <si>
    <t>5 Yıllık Gelir - Gider Hedef / CİRO</t>
  </si>
  <si>
    <t>İşletme Gelirleri Toplamı</t>
  </si>
  <si>
    <t>İşletme Giderleri toplamı</t>
  </si>
  <si>
    <t>Gelir -Gider Farkı</t>
  </si>
  <si>
    <t>Yıllık Satış Adedi</t>
  </si>
  <si>
    <t>Yıllık Satış Ciroları</t>
  </si>
  <si>
    <t>Satış Ağırlığı (%)</t>
  </si>
  <si>
    <t>Birim Fiyatları</t>
  </si>
  <si>
    <t>Kuruluş Dönemi Masrafları</t>
  </si>
  <si>
    <t>İzin / Ruhsat / Kayıt</t>
  </si>
  <si>
    <t>İlgili Kurum</t>
  </si>
  <si>
    <t>Tutar (TL)</t>
  </si>
  <si>
    <t xml:space="preserve">İmza tescil beyannamesi, </t>
  </si>
  <si>
    <t>Noter</t>
  </si>
  <si>
    <t>Vergi hesap numarasının alınması</t>
  </si>
  <si>
    <t>Vergi Dairesi</t>
  </si>
  <si>
    <t>Defterlerin alınması ve tasdik edilmesi</t>
  </si>
  <si>
    <t>Yoklama tutanağının düzenlenmesi</t>
  </si>
  <si>
    <t>Vergi levhası, yazar kasa levhası</t>
  </si>
  <si>
    <t>Fatura, irsaliye ve gider pusulası belgelerinin basımı</t>
  </si>
  <si>
    <t>Maliye Bakanlığının anlaşmalı matbaalar</t>
  </si>
  <si>
    <t>Şirket tescilinin yapılması</t>
  </si>
  <si>
    <t>Ticaret Sicil Memurluğu veya Esnaf Sanatkarlar Sicil Memurluğu</t>
  </si>
  <si>
    <t>Sicil gazetesi ilanı</t>
  </si>
  <si>
    <t xml:space="preserve">Ticaret Sicil Memurluğu Esnaf  ve Sanatkarlar Sicil Memurluğu, </t>
  </si>
  <si>
    <t>İlgili odaya kayıt yaptırılması</t>
  </si>
  <si>
    <t>Ticaret Odası veya Esnaf Sanatkarlar Odası veya Sanayi Odası</t>
  </si>
  <si>
    <t>İşyeri açma ve çalışma ruhsatlarının alınması</t>
  </si>
  <si>
    <t xml:space="preserve">Belediye </t>
  </si>
  <si>
    <t>Yazar Kasa</t>
  </si>
  <si>
    <t>Muhasebe Ücreti</t>
  </si>
  <si>
    <t>SMMO Üyesi muhasebeci veya Mali Müşavirler</t>
  </si>
  <si>
    <t>3.1 FİNANSAL TAHMİN TABLOSU (KDV Hariç TL)</t>
  </si>
  <si>
    <t>A) GELİR</t>
  </si>
  <si>
    <t>(Kuruluş Tarihi- 31 Aralık Arası)</t>
  </si>
  <si>
    <t>(1 Ocak- 31 Aralık Arası)</t>
  </si>
  <si>
    <t xml:space="preserve">GELİR GENEL TOPLAMI </t>
  </si>
  <si>
    <t>B) DİĞER</t>
  </si>
  <si>
    <t xml:space="preserve">GİDER GENEL TOPLAMI </t>
  </si>
  <si>
    <t>KAR/ZARAR (A-B)</t>
  </si>
  <si>
    <t>3.2 SABİT DEĞERLER (KDV Hariç TL)</t>
  </si>
  <si>
    <t>(İşletmeye ait; Demirbaş, Taşıt, Makine, Gayrimenkul vb. Toplamı)</t>
  </si>
  <si>
    <t>Dönem Başı Sabit Değerler</t>
  </si>
  <si>
    <t xml:space="preserve">Dönem İçinde Satın Alınan Sabit Değerler </t>
  </si>
  <si>
    <t xml:space="preserve">Dönem İçinde Satılan Sabit Değerler (-) </t>
  </si>
  <si>
    <t xml:space="preserve">DÖNEM SONU SABİT DEĞERLE </t>
  </si>
  <si>
    <t>3.3 ÇALIŞAN BİLGİLERİ</t>
  </si>
  <si>
    <t>Ortalama Çalışan Sayısı (A/360)</t>
  </si>
  <si>
    <r>
      <rPr>
        <b/>
        <sz val="10"/>
        <color indexed="8"/>
        <rFont val="Times New Roman"/>
        <family val="1"/>
      </rPr>
      <t xml:space="preserve">Dönem içinde Elde Edilen Hasılat </t>
    </r>
    <r>
      <rPr>
        <sz val="10"/>
        <color indexed="8"/>
        <rFont val="Times New Roman"/>
        <family val="1"/>
        <charset val="162"/>
      </rPr>
      <t xml:space="preserve">
</t>
    </r>
    <r>
      <rPr>
        <i/>
        <sz val="10"/>
        <color rgb="FF000000"/>
        <rFont val="Times New Roman"/>
        <family val="1"/>
      </rPr>
      <t xml:space="preserve">(Mal ve hizmet satışlarından veya yapılan işlerden dolayı elde edilen gelir toplamı) </t>
    </r>
  </si>
  <si>
    <r>
      <rPr>
        <b/>
        <sz val="10"/>
        <color indexed="8"/>
        <rFont val="Times New Roman"/>
        <family val="1"/>
      </rPr>
      <t xml:space="preserve">Diğer Gelirler </t>
    </r>
    <r>
      <rPr>
        <sz val="10"/>
        <color indexed="8"/>
        <rFont val="Times New Roman"/>
        <family val="1"/>
        <charset val="162"/>
      </rPr>
      <t xml:space="preserve">
</t>
    </r>
    <r>
      <rPr>
        <i/>
        <sz val="10"/>
        <color rgb="FF000000"/>
        <rFont val="Times New Roman"/>
        <family val="1"/>
      </rPr>
      <t>(Asli faaliyet dışında elde edilen, Kira Geliri, KOSGEB Desteği, vb. gelirler toplamı)</t>
    </r>
    <r>
      <rPr>
        <b/>
        <sz val="10"/>
        <color rgb="FF000000"/>
        <rFont val="Times New Roman"/>
        <family val="1"/>
      </rPr>
      <t xml:space="preserve"> </t>
    </r>
  </si>
  <si>
    <r>
      <rPr>
        <b/>
        <sz val="10"/>
        <color indexed="8"/>
        <rFont val="Times New Roman"/>
        <family val="1"/>
      </rPr>
      <t xml:space="preserve">Dönem Sonu Emtia Mevcudu </t>
    </r>
    <r>
      <rPr>
        <sz val="10"/>
        <color indexed="8"/>
        <rFont val="Times New Roman"/>
        <family val="1"/>
        <charset val="162"/>
      </rPr>
      <t xml:space="preserve">
</t>
    </r>
    <r>
      <rPr>
        <i/>
        <sz val="10"/>
        <color rgb="FF000000"/>
        <rFont val="Times New Roman"/>
        <family val="1"/>
      </rPr>
      <t xml:space="preserve">(Dönem sonunda sahip olunan Hammadde, Yarı Mamül, Mamül, Ticari Mal toplamı) </t>
    </r>
  </si>
  <si>
    <r>
      <rPr>
        <b/>
        <sz val="10"/>
        <color indexed="8"/>
        <rFont val="Times New Roman"/>
        <family val="1"/>
      </rPr>
      <t xml:space="preserve">Dönem Başı Emtia Mevcudu </t>
    </r>
    <r>
      <rPr>
        <sz val="10"/>
        <color indexed="8"/>
        <rFont val="Times New Roman"/>
        <family val="1"/>
        <charset val="162"/>
      </rPr>
      <t xml:space="preserve">
</t>
    </r>
    <r>
      <rPr>
        <i/>
        <sz val="10"/>
        <color rgb="FF000000"/>
        <rFont val="Times New Roman"/>
        <family val="1"/>
      </rPr>
      <t xml:space="preserve">(Dönem Başında sahip olunan Hammadde, Yarı Mamül, Mamül, Ticari Mal toplamı) </t>
    </r>
  </si>
  <si>
    <r>
      <rPr>
        <b/>
        <sz val="10"/>
        <color indexed="8"/>
        <rFont val="Times New Roman"/>
        <family val="1"/>
      </rPr>
      <t xml:space="preserve">Dönem İçinde Satın Alınan Emtia </t>
    </r>
    <r>
      <rPr>
        <sz val="10"/>
        <color indexed="8"/>
        <rFont val="Times New Roman"/>
        <family val="1"/>
        <charset val="162"/>
      </rPr>
      <t xml:space="preserve">
</t>
    </r>
    <r>
      <rPr>
        <i/>
        <sz val="10"/>
        <color rgb="FF000000"/>
        <rFont val="Times New Roman"/>
        <family val="1"/>
      </rPr>
      <t xml:space="preserve">(Dönem içerisinde satın alınan Hammadde, Yarı Mamül, Mamül, Ticari Mal toplamı) </t>
    </r>
  </si>
  <si>
    <r>
      <rPr>
        <b/>
        <sz val="10"/>
        <color indexed="8"/>
        <rFont val="Times New Roman"/>
        <family val="1"/>
      </rPr>
      <t xml:space="preserve">Giderler </t>
    </r>
    <r>
      <rPr>
        <sz val="10"/>
        <color indexed="8"/>
        <rFont val="Times New Roman"/>
        <family val="1"/>
        <charset val="162"/>
      </rPr>
      <t xml:space="preserve">
</t>
    </r>
    <r>
      <rPr>
        <i/>
        <sz val="10"/>
        <color rgb="FF000000"/>
        <rFont val="Times New Roman"/>
        <family val="1"/>
      </rPr>
      <t xml:space="preserve">(Dönem içerisinde işin yürütülmesi için gerekli olan işyeri kirası, personel, ısıtma, SGK primleri, elektrik, telefon, amortisman vb. giderler toplamı) </t>
    </r>
  </si>
  <si>
    <r>
      <rPr>
        <b/>
        <sz val="10"/>
        <color indexed="8"/>
        <rFont val="Times New Roman"/>
        <family val="1"/>
      </rPr>
      <t xml:space="preserve">A) Gün Sayısı Toplamı </t>
    </r>
    <r>
      <rPr>
        <sz val="10"/>
        <color indexed="8"/>
        <rFont val="Times New Roman"/>
        <family val="1"/>
        <charset val="162"/>
      </rPr>
      <t xml:space="preserve">
</t>
    </r>
    <r>
      <rPr>
        <i/>
        <sz val="10"/>
        <color indexed="8"/>
        <rFont val="Times New Roman"/>
        <family val="1"/>
      </rPr>
      <t xml:space="preserve">(İşletme sahibi, işletmede çalışan ortaklar ve personelin gün toplamları. 
Ay 30, yıl 360 gün üzerinden hesaplanır) </t>
    </r>
  </si>
  <si>
    <t>1-6 ay</t>
  </si>
  <si>
    <t>7-12 ay</t>
  </si>
  <si>
    <t xml:space="preserve">FİNANSAL PLAN </t>
  </si>
  <si>
    <t xml:space="preserve">1 Başlangıç Maliyetleri ve Diğer Başlangıç Giderleri </t>
  </si>
  <si>
    <t xml:space="preserve">2 İşletme Giderleri </t>
  </si>
  <si>
    <t xml:space="preserve">3 Nakit Projeksiyonları </t>
  </si>
  <si>
    <t>4 Kâra Geçiş Noktası</t>
  </si>
  <si>
    <t>5 Özkaynak ve/veya Diğer Kaynaklardan Sağlanacak Finansman</t>
  </si>
  <si>
    <r>
      <rPr>
        <b/>
        <i/>
        <u/>
        <sz val="14"/>
        <color rgb="FFFF0000"/>
        <rFont val="Times New Roman"/>
        <family val="1"/>
      </rPr>
      <t>ÜRETİM SATIŞ HEDEFLERİ TABLOSU</t>
    </r>
    <r>
      <rPr>
        <b/>
        <i/>
        <sz val="12"/>
        <color rgb="FFFF0000"/>
        <rFont val="Times New Roman"/>
        <family val="1"/>
      </rPr>
      <t xml:space="preserve"> DOLDURULDUĞUNDA 3 NAKİT PROJEKSİYONLARI TABLOSU OTOMATİK OLARAK HESAPLANMAKTADIR.</t>
    </r>
  </si>
  <si>
    <t>FORM NO: UGE 04</t>
  </si>
  <si>
    <t>Yayın Tarihi: Kasım / 2015</t>
  </si>
  <si>
    <t>Oran</t>
  </si>
  <si>
    <t>HAMMADDE VE İŞLETME
MALZEMELERİ</t>
  </si>
  <si>
    <t>CİLT BAKIM ÜRÜNLERİ</t>
  </si>
  <si>
    <t>VÜCUT BAKIM ÜRÜNLERİ</t>
  </si>
  <si>
    <t>SAÇ  BAKIM ÜRÜNLERİ</t>
  </si>
  <si>
    <t>SPA &amp; WELLNESS ÜRÜNLER</t>
  </si>
  <si>
    <t>HİJYEN</t>
  </si>
  <si>
    <t>HEDİYELİK</t>
  </si>
  <si>
    <t>EV TEMİZLİK</t>
  </si>
  <si>
    <t>ONKO Pİ SERİSİ (20)</t>
  </si>
  <si>
    <t>ERKEK BAKIM ÜRÜNLERİ</t>
  </si>
  <si>
    <t>1. Yıl TOPLAM</t>
  </si>
  <si>
    <t>2. Yıl TOPLAM</t>
  </si>
  <si>
    <t>(1 Ocak- 31 Aralık Arası)
Amortisman %10</t>
  </si>
  <si>
    <t>(1 Ocak- 31 Aralık Arası)
Amortisman %11</t>
  </si>
  <si>
    <t>ENERJİ GİDERLERİ</t>
  </si>
  <si>
    <t>MUHASEBE DANIŞMANLIK</t>
  </si>
  <si>
    <t>DİĞER</t>
  </si>
  <si>
    <t>PERSONEL GİDERİLERİ</t>
  </si>
  <si>
    <t>KİRA GİDERLERİ</t>
  </si>
  <si>
    <t>PAZARLAMA GİDERLERİ</t>
  </si>
  <si>
    <t>VERGİ GİDERLERİ</t>
  </si>
  <si>
    <t>1.AY</t>
  </si>
  <si>
    <t>2. AY</t>
  </si>
  <si>
    <t>3. AY</t>
  </si>
  <si>
    <t>4. AY</t>
  </si>
  <si>
    <t>5. AY</t>
  </si>
  <si>
    <t>6. AY</t>
  </si>
  <si>
    <t>7. AY</t>
  </si>
  <si>
    <t>ÜRETİM SATIŞ - ADET</t>
  </si>
  <si>
    <t>İŞLETME GELİRLERİ</t>
  </si>
  <si>
    <t>AYLAR</t>
  </si>
  <si>
    <t>GELİR GİDER FARKI</t>
  </si>
  <si>
    <t>3.AY</t>
  </si>
  <si>
    <t>5.AY</t>
  </si>
  <si>
    <t>7.AY</t>
  </si>
  <si>
    <t>8.AY</t>
  </si>
  <si>
    <t>9.AY</t>
  </si>
  <si>
    <t>10. AY</t>
  </si>
  <si>
    <t>11.AY</t>
  </si>
  <si>
    <t>12. AY</t>
  </si>
  <si>
    <t>KÜMÜLATİF NAKİT AKIMLAR</t>
  </si>
  <si>
    <t>5 Yıllık Satış Hedef / ADET</t>
  </si>
  <si>
    <t>ÜRÜNLER</t>
  </si>
  <si>
    <t xml:space="preserve"> Sabit Maliyet</t>
  </si>
  <si>
    <t>Satış Fiyatı</t>
  </si>
  <si>
    <t>Maliyet Fiyatı</t>
  </si>
  <si>
    <t>BBN Üretim Miktarı</t>
  </si>
  <si>
    <t>Aylık Ortalama Üretim</t>
  </si>
  <si>
    <t>BBN Ulaşım Zaman/Ay</t>
  </si>
  <si>
    <t>Miktar</t>
  </si>
  <si>
    <t>Birim Fiyat (Euro/ton)</t>
  </si>
  <si>
    <t>Yıllık Üretim miktarı (ton)</t>
  </si>
  <si>
    <t xml:space="preserve">PROJE PERSONEL GİDER TABLOSU </t>
  </si>
  <si>
    <t xml:space="preserve">EURO Kur: </t>
  </si>
  <si>
    <r>
      <t xml:space="preserve">Başa Baş Noktası </t>
    </r>
    <r>
      <rPr>
        <b/>
        <sz val="14"/>
        <color indexed="8"/>
        <rFont val="Arial"/>
        <family val="2"/>
      </rPr>
      <t>(TON)</t>
    </r>
    <r>
      <rPr>
        <sz val="14"/>
        <color indexed="8"/>
        <rFont val="Arial"/>
        <family val="2"/>
        <charset val="162"/>
      </rPr>
      <t xml:space="preserve"> =                                 </t>
    </r>
  </si>
  <si>
    <t>YATIRIM GERİ DÖNÜŞ SÜRESİ (YGS)</t>
  </si>
  <si>
    <t xml:space="preserve">YGS  (YIL)                            </t>
  </si>
  <si>
    <t>Birim Fiyat (Euro)</t>
  </si>
  <si>
    <t>TUTAR (Euro)</t>
  </si>
  <si>
    <t>TOPLAM (EURO)</t>
  </si>
  <si>
    <t>TOPLAM (TL)</t>
  </si>
  <si>
    <t>GENEL TOPLAM (TL):</t>
  </si>
  <si>
    <t>Yıllık Sabit Maliyet</t>
  </si>
  <si>
    <t>Birim Değişken Maliyet</t>
  </si>
  <si>
    <t>Katkı Payı</t>
  </si>
  <si>
    <t>Net Nakit Akış (1. yıl)</t>
  </si>
  <si>
    <t>Net Nakit Akış (2. yıl)</t>
  </si>
  <si>
    <t>Net Nakit Akış (3. yıl)</t>
  </si>
  <si>
    <r>
      <t>Başa Baş Noktasına geçiş süresi (</t>
    </r>
    <r>
      <rPr>
        <b/>
        <sz val="14"/>
        <color indexed="8"/>
        <rFont val="Arial"/>
        <family val="2"/>
      </rPr>
      <t>AY)</t>
    </r>
    <r>
      <rPr>
        <sz val="14"/>
        <color indexed="8"/>
        <rFont val="Arial"/>
        <family val="2"/>
        <charset val="162"/>
      </rPr>
      <t xml:space="preserve"> =                                  </t>
    </r>
  </si>
  <si>
    <t>Net Nakit Akış</t>
  </si>
  <si>
    <t>Fark</t>
  </si>
  <si>
    <t>Aylık Nakit Akış Ortalaması</t>
  </si>
  <si>
    <t>Günlük Nakit Akış Ortalaması</t>
  </si>
  <si>
    <t>MAKİNE</t>
  </si>
  <si>
    <t>Revizyon Tarihi : 10.12.2024</t>
  </si>
  <si>
    <t>FİNANSMAN GİDERİ</t>
  </si>
  <si>
    <t xml:space="preserve">Ay </t>
  </si>
  <si>
    <t>Gün</t>
  </si>
  <si>
    <t>YGS</t>
  </si>
  <si>
    <t>www.tufanataturkyilmaz.com</t>
  </si>
  <si>
    <t xml:space="preserve">www.tufanataturkyilmaz.com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</si>
</sst>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#,##0\ &quot;TL&quot;;[Red]\-#,##0\ &quot;TL&quot;"/>
    <numFmt numFmtId="165" formatCode="#,##0.00\ &quot;TL&quot;;[Red]\-#,##0.00\ &quot;TL&quot;"/>
    <numFmt numFmtId="166" formatCode="#,##0.00_ ;[Red]\-#,##0.00\ "/>
    <numFmt numFmtId="167" formatCode="#,##0.00\ &quot;TL&quot;"/>
    <numFmt numFmtId="168" formatCode="#,##0.00\ _₺"/>
    <numFmt numFmtId="169" formatCode="_-* #,##0_-;\-* #,##0_-;_-* &quot;-&quot;??_-;_-@_-"/>
    <numFmt numFmtId="170" formatCode="0.000"/>
    <numFmt numFmtId="171" formatCode="#,##0.0\ &quot;TL&quot;;[Red]\-#,##0.0\ &quot;TL&quot;"/>
    <numFmt numFmtId="172" formatCode="_-* #,##0.0_-;\-* #,##0.0_-;_-* &quot;-&quot;??_-;_-@_-"/>
    <numFmt numFmtId="173" formatCode="#,##0.0_ ;[Red]\-#,##0.0\ "/>
    <numFmt numFmtId="174" formatCode="_(* #,##0.00_);_(* \(#,##0.00\);_(* \-??_);_(@_)"/>
  </numFmts>
  <fonts count="129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8"/>
      <color indexed="8"/>
      <name val="Calibri"/>
      <family val="2"/>
      <charset val="162"/>
    </font>
    <font>
      <b/>
      <i/>
      <sz val="14"/>
      <color indexed="8"/>
      <name val="Times New Roman"/>
      <family val="1"/>
      <charset val="162"/>
    </font>
    <font>
      <sz val="14"/>
      <color indexed="8"/>
      <name val="Calibri"/>
      <family val="2"/>
      <charset val="162"/>
    </font>
    <font>
      <b/>
      <sz val="14"/>
      <color indexed="10"/>
      <name val="Calibri"/>
      <family val="2"/>
      <charset val="162"/>
    </font>
    <font>
      <sz val="10"/>
      <color indexed="8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indexed="81"/>
      <name val="Tahoma"/>
      <family val="2"/>
      <charset val="162"/>
    </font>
    <font>
      <sz val="8"/>
      <name val="Verdana"/>
      <family val="2"/>
    </font>
    <font>
      <sz val="8"/>
      <name val="Calibri"/>
      <family val="2"/>
      <charset val="162"/>
    </font>
    <font>
      <sz val="11"/>
      <color rgb="FFFF000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b/>
      <sz val="10"/>
      <color indexed="10"/>
      <name val="Calibri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Arial"/>
      <family val="2"/>
      <charset val="162"/>
    </font>
    <font>
      <sz val="14"/>
      <color theme="1"/>
      <name val="Calibri"/>
      <family val="2"/>
    </font>
    <font>
      <b/>
      <i/>
      <sz val="14"/>
      <color indexed="8"/>
      <name val="Calibri"/>
      <family val="2"/>
    </font>
    <font>
      <sz val="10"/>
      <name val="Calibri"/>
      <family val="2"/>
    </font>
    <font>
      <b/>
      <u/>
      <sz val="9"/>
      <color indexed="81"/>
      <name val="Tahoma"/>
      <family val="2"/>
    </font>
    <font>
      <sz val="9"/>
      <color indexed="81"/>
      <name val="Arial"/>
      <family val="2"/>
    </font>
    <font>
      <b/>
      <sz val="18"/>
      <color indexed="8"/>
      <name val="Times New Roman"/>
      <family val="1"/>
    </font>
    <font>
      <sz val="10"/>
      <color rgb="FFFF0000"/>
      <name val="Calibri"/>
      <family val="2"/>
    </font>
    <font>
      <b/>
      <i/>
      <sz val="12"/>
      <color rgb="FFFF0000"/>
      <name val="Times New Roman"/>
      <family val="1"/>
    </font>
    <font>
      <b/>
      <i/>
      <sz val="12"/>
      <color indexed="10"/>
      <name val="Times New Roman"/>
      <family val="1"/>
    </font>
    <font>
      <i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scheme val="minor"/>
    </font>
    <font>
      <b/>
      <i/>
      <u/>
      <sz val="14"/>
      <color rgb="FFFF0000"/>
      <name val="Times New Roman"/>
      <family val="1"/>
    </font>
    <font>
      <sz val="11"/>
      <color theme="1"/>
      <name val="Calibri"/>
      <family val="2"/>
      <charset val="162"/>
      <scheme val="minor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1"/>
      <color theme="10"/>
      <name val="Calibri"/>
      <family val="2"/>
      <charset val="162"/>
      <scheme val="minor"/>
    </font>
    <font>
      <u/>
      <sz val="11"/>
      <color theme="11"/>
      <name val="Calibri"/>
      <family val="2"/>
      <charset val="162"/>
      <scheme val="minor"/>
    </font>
    <font>
      <b/>
      <sz val="14"/>
      <color indexed="8"/>
      <name val="Arial"/>
      <family val="2"/>
    </font>
    <font>
      <sz val="10"/>
      <color rgb="FFFF6600"/>
      <name val="Calibri"/>
      <family val="2"/>
    </font>
    <font>
      <sz val="11"/>
      <color rgb="FFFF6600"/>
      <name val="Calibri"/>
      <family val="2"/>
    </font>
    <font>
      <sz val="11"/>
      <color theme="1"/>
      <name val="Calibri"/>
      <family val="2"/>
    </font>
    <font>
      <sz val="9"/>
      <color indexed="10"/>
      <name val="Calibri"/>
      <family val="2"/>
    </font>
    <font>
      <b/>
      <sz val="9"/>
      <color indexed="10"/>
      <name val="Calibri"/>
      <family val="2"/>
    </font>
    <font>
      <sz val="9"/>
      <color indexed="8"/>
      <name val="Calibri"/>
      <family val="2"/>
    </font>
    <font>
      <b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9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color rgb="FFFF0000"/>
      <name val="Times New Roman"/>
      <family val="1"/>
    </font>
    <font>
      <i/>
      <sz val="10"/>
      <color indexed="8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sz val="14"/>
      <color theme="3"/>
      <name val="Arial Tur"/>
      <charset val="162"/>
    </font>
    <font>
      <sz val="11"/>
      <color rgb="FF008000"/>
      <name val="Calibri"/>
      <family val="2"/>
      <charset val="162"/>
      <scheme val="minor"/>
    </font>
    <font>
      <sz val="10"/>
      <color rgb="FF008000"/>
      <name val="Times New Roman"/>
      <family val="1"/>
      <charset val="162"/>
    </font>
    <font>
      <sz val="11"/>
      <name val="Calibri"/>
      <family val="2"/>
      <charset val="162"/>
      <scheme val="minor"/>
    </font>
    <font>
      <sz val="9"/>
      <name val="Calibri"/>
      <family val="2"/>
    </font>
    <font>
      <sz val="9"/>
      <name val="Arial"/>
      <family val="2"/>
    </font>
    <font>
      <b/>
      <u/>
      <sz val="9"/>
      <color rgb="FF000000"/>
      <name val="Tahoma"/>
      <family val="2"/>
    </font>
    <font>
      <sz val="9"/>
      <color rgb="FF000000"/>
      <name val="Tahoma"/>
      <family val="2"/>
      <charset val="162"/>
    </font>
    <font>
      <sz val="9"/>
      <color rgb="FF000000"/>
      <name val="Arial"/>
      <family val="2"/>
    </font>
    <font>
      <b/>
      <i/>
      <u/>
      <sz val="9"/>
      <color rgb="FF000000"/>
      <name val="Tahoma"/>
      <family val="2"/>
    </font>
    <font>
      <sz val="9"/>
      <color rgb="FF000000"/>
      <name val="Noteworthy Bold"/>
      <family val="2"/>
      <charset val="162"/>
    </font>
    <font>
      <b/>
      <u/>
      <sz val="12"/>
      <color rgb="FF000000"/>
      <name val="Tahoma"/>
      <family val="2"/>
      <charset val="162"/>
    </font>
    <font>
      <b/>
      <u/>
      <sz val="12"/>
      <color rgb="FF000000"/>
      <name val="Noteworthy Bold"/>
      <family val="2"/>
      <charset val="162"/>
    </font>
    <font>
      <b/>
      <i/>
      <u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9"/>
      <color rgb="FF000000"/>
      <name val="Tahoma"/>
      <family val="2"/>
      <charset val="162"/>
    </font>
    <font>
      <u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Times New Roman"/>
      <family val="1"/>
      <charset val="162"/>
    </font>
    <font>
      <b/>
      <sz val="16"/>
      <name val="Times New Roman"/>
      <family val="1"/>
    </font>
    <font>
      <sz val="14"/>
      <name val="Calibri"/>
      <family val="2"/>
    </font>
    <font>
      <b/>
      <sz val="14"/>
      <name val="Calibri"/>
      <family val="2"/>
      <charset val="162"/>
    </font>
    <font>
      <sz val="10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  <charset val="162"/>
    </font>
    <font>
      <sz val="12"/>
      <name val="Calibri"/>
      <family val="2"/>
      <charset val="162"/>
      <scheme val="minor"/>
    </font>
    <font>
      <sz val="9"/>
      <name val="Arial"/>
      <family val="2"/>
      <charset val="162"/>
    </font>
    <font>
      <b/>
      <sz val="11"/>
      <name val="Times New Roman"/>
      <family val="1"/>
    </font>
    <font>
      <b/>
      <sz val="11"/>
      <name val="Times New Roman"/>
      <family val="1"/>
      <charset val="162"/>
    </font>
    <font>
      <b/>
      <sz val="9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8"/>
      <name val="Calibri"/>
      <family val="2"/>
      <charset val="162"/>
      <scheme val="minor"/>
    </font>
    <font>
      <sz val="9"/>
      <color theme="5" tint="-0.249977111117893"/>
      <name val="Arial"/>
      <family val="2"/>
      <charset val="162"/>
    </font>
    <font>
      <b/>
      <sz val="11"/>
      <color theme="5" tint="-0.249977111117893"/>
      <name val="Calibri"/>
      <family val="2"/>
      <charset val="162"/>
    </font>
    <font>
      <b/>
      <sz val="11"/>
      <color theme="5" tint="-0.249977111117893"/>
      <name val="Calibri"/>
      <family val="2"/>
    </font>
    <font>
      <b/>
      <sz val="9"/>
      <color theme="5" tint="-0.249977111117893"/>
      <name val="Calibri"/>
      <family val="2"/>
    </font>
    <font>
      <sz val="10"/>
      <color theme="5" tint="-0.249977111117893"/>
      <name val="Calibri"/>
      <family val="2"/>
    </font>
    <font>
      <b/>
      <sz val="11"/>
      <color theme="5" tint="-0.249977111117893"/>
      <name val="Arial"/>
      <family val="2"/>
      <charset val="162"/>
    </font>
    <font>
      <b/>
      <sz val="10"/>
      <color indexed="8"/>
      <name val="Arial"/>
      <family val="2"/>
    </font>
    <font>
      <b/>
      <sz val="9"/>
      <color rgb="FF000000"/>
      <name val="Calibri"/>
      <family val="2"/>
      <charset val="162"/>
    </font>
    <font>
      <sz val="9"/>
      <color rgb="FF000000"/>
      <name val="Calibri"/>
      <family val="2"/>
      <charset val="16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0"/>
      <color rgb="FFC00000"/>
      <name val="Times New Roman"/>
      <family val="1"/>
    </font>
    <font>
      <sz val="14"/>
      <color rgb="FFC00000"/>
      <name val="Calibri"/>
      <family val="2"/>
      <scheme val="minor"/>
    </font>
    <font>
      <sz val="11"/>
      <color rgb="FFC00000"/>
      <name val="Calibri"/>
      <family val="2"/>
      <charset val="162"/>
      <scheme val="minor"/>
    </font>
    <font>
      <b/>
      <sz val="14"/>
      <color rgb="FFC00000"/>
      <name val="Calibri"/>
      <family val="2"/>
      <charset val="162"/>
    </font>
    <font>
      <sz val="10"/>
      <color rgb="FFC00000"/>
      <name val="Times New Roman"/>
      <family val="1"/>
      <charset val="162"/>
    </font>
    <font>
      <b/>
      <sz val="12"/>
      <color rgb="FFC00000"/>
      <name val="Calibri"/>
      <family val="2"/>
    </font>
    <font>
      <sz val="14"/>
      <color rgb="FFC00000"/>
      <name val="Calibri"/>
      <family val="2"/>
      <charset val="162"/>
    </font>
    <font>
      <sz val="10"/>
      <color rgb="FFC00000"/>
      <name val="Calibri"/>
      <family val="2"/>
    </font>
    <font>
      <sz val="10"/>
      <color rgb="FFC00000"/>
      <name val="Arial"/>
      <family val="2"/>
      <charset val="162"/>
    </font>
    <font>
      <b/>
      <i/>
      <sz val="12"/>
      <color rgb="FFC00000"/>
      <name val="Times New Roman"/>
      <family val="1"/>
    </font>
    <font>
      <sz val="9"/>
      <color rgb="FFC00000"/>
      <name val="Calibri"/>
      <family val="2"/>
    </font>
    <font>
      <b/>
      <sz val="9"/>
      <color rgb="FFC00000"/>
      <name val="Calibri"/>
      <family val="2"/>
    </font>
    <font>
      <b/>
      <sz val="10"/>
      <color rgb="FFC00000"/>
      <name val="Arial"/>
      <family val="2"/>
    </font>
    <font>
      <b/>
      <sz val="10"/>
      <name val="Calibri"/>
      <family val="2"/>
      <charset val="162"/>
    </font>
    <font>
      <sz val="8"/>
      <name val="Calibri"/>
      <family val="2"/>
    </font>
    <font>
      <b/>
      <sz val="8"/>
      <name val="Calibri"/>
      <family val="2"/>
    </font>
    <font>
      <sz val="8"/>
      <name val="Arial"/>
      <family val="2"/>
      <charset val="162"/>
    </font>
    <font>
      <b/>
      <sz val="14"/>
      <color theme="1"/>
      <name val="Calibri"/>
      <family val="2"/>
      <charset val="162"/>
    </font>
    <font>
      <b/>
      <i/>
      <sz val="14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indexed="10"/>
      <name val="Times New Roman"/>
      <family val="1"/>
    </font>
    <font>
      <sz val="10"/>
      <name val="Arial"/>
      <family val="2"/>
      <charset val="204"/>
    </font>
    <font>
      <b/>
      <sz val="10"/>
      <color theme="3"/>
      <name val="Arial Tur"/>
      <charset val="162"/>
    </font>
    <font>
      <sz val="10"/>
      <color theme="3"/>
      <name val="Arial Tur"/>
      <charset val="162"/>
    </font>
    <font>
      <sz val="10"/>
      <color theme="0"/>
      <name val="Times New Roman"/>
      <family val="1"/>
    </font>
    <font>
      <sz val="10"/>
      <color theme="1" tint="0.1499984740745262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DB4A"/>
        <bgColor indexed="64"/>
      </patternFill>
    </fill>
    <fill>
      <patternFill patternType="solid">
        <fgColor theme="2" tint="-9.9978637043366805E-2"/>
        <bgColor indexed="64"/>
      </patternFill>
    </fill>
  </fills>
  <borders count="119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5">
    <xf numFmtId="0" fontId="0" fillId="0" borderId="0"/>
    <xf numFmtId="43" fontId="34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4" fontId="124" fillId="0" borderId="0" applyFill="0" applyBorder="0" applyAlignment="0" applyProtection="0"/>
  </cellStyleXfs>
  <cellXfs count="741">
    <xf numFmtId="0" fontId="0" fillId="0" borderId="0" xfId="0"/>
    <xf numFmtId="168" fontId="0" fillId="0" borderId="0" xfId="0" applyNumberFormat="1"/>
    <xf numFmtId="0" fontId="19" fillId="0" borderId="14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20" fillId="6" borderId="36" xfId="0" applyFont="1" applyFill="1" applyBorder="1" applyAlignment="1">
      <alignment horizontal="center"/>
    </xf>
    <xf numFmtId="0" fontId="0" fillId="0" borderId="0" xfId="0" applyAlignment="1">
      <alignment horizontal="left"/>
    </xf>
    <xf numFmtId="169" fontId="10" fillId="0" borderId="5" xfId="1" applyNumberFormat="1" applyFont="1" applyBorder="1" applyAlignment="1">
      <alignment horizontal="left" vertical="center"/>
    </xf>
    <xf numFmtId="169" fontId="10" fillId="0" borderId="9" xfId="1" applyNumberFormat="1" applyFont="1" applyBorder="1" applyAlignment="1">
      <alignment horizontal="left" vertical="center"/>
    </xf>
    <xf numFmtId="169" fontId="10" fillId="0" borderId="10" xfId="1" applyNumberFormat="1" applyFont="1" applyBorder="1" applyAlignment="1">
      <alignment horizontal="left" vertical="center"/>
    </xf>
    <xf numFmtId="0" fontId="22" fillId="6" borderId="31" xfId="0" applyFont="1" applyFill="1" applyBorder="1" applyAlignment="1">
      <alignment horizontal="center"/>
    </xf>
    <xf numFmtId="0" fontId="4" fillId="6" borderId="33" xfId="0" applyFont="1" applyFill="1" applyBorder="1" applyAlignment="1">
      <alignment horizontal="center" vertical="center" wrapText="1"/>
    </xf>
    <xf numFmtId="169" fontId="39" fillId="6" borderId="32" xfId="1" applyNumberFormat="1" applyFont="1" applyFill="1" applyBorder="1" applyAlignment="1">
      <alignment horizontal="left" vertical="center"/>
    </xf>
    <xf numFmtId="169" fontId="10" fillId="0" borderId="19" xfId="1" applyNumberFormat="1" applyFont="1" applyBorder="1" applyAlignment="1">
      <alignment horizontal="center" vertical="center"/>
    </xf>
    <xf numFmtId="169" fontId="10" fillId="0" borderId="7" xfId="1" applyNumberFormat="1" applyFont="1" applyBorder="1" applyAlignment="1">
      <alignment horizontal="center" vertical="center"/>
    </xf>
    <xf numFmtId="169" fontId="10" fillId="0" borderId="35" xfId="1" applyNumberFormat="1" applyFont="1" applyBorder="1" applyAlignment="1">
      <alignment horizontal="center" vertical="center"/>
    </xf>
    <xf numFmtId="169" fontId="8" fillId="6" borderId="38" xfId="1" applyNumberFormat="1" applyFont="1" applyFill="1" applyBorder="1" applyAlignment="1">
      <alignment horizontal="left"/>
    </xf>
    <xf numFmtId="0" fontId="0" fillId="0" borderId="0" xfId="0" applyProtection="1">
      <protection locked="0"/>
    </xf>
    <xf numFmtId="0" fontId="20" fillId="7" borderId="72" xfId="0" applyFont="1" applyFill="1" applyBorder="1" applyProtection="1">
      <protection locked="0"/>
    </xf>
    <xf numFmtId="0" fontId="20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165" fontId="8" fillId="7" borderId="72" xfId="0" applyNumberFormat="1" applyFont="1" applyFill="1" applyBorder="1" applyAlignment="1" applyProtection="1">
      <alignment horizontal="right"/>
      <protection locked="0"/>
    </xf>
    <xf numFmtId="0" fontId="15" fillId="3" borderId="53" xfId="0" applyFont="1" applyFill="1" applyBorder="1" applyAlignment="1" applyProtection="1">
      <alignment vertical="center"/>
      <protection locked="0"/>
    </xf>
    <xf numFmtId="0" fontId="15" fillId="0" borderId="53" xfId="0" applyFont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22" fillId="0" borderId="0" xfId="0" applyFont="1" applyProtection="1">
      <protection locked="0"/>
    </xf>
    <xf numFmtId="0" fontId="4" fillId="3" borderId="23" xfId="0" applyFont="1" applyFill="1" applyBorder="1" applyAlignment="1" applyProtection="1">
      <alignment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6" fillId="7" borderId="72" xfId="0" applyFont="1" applyFill="1" applyBorder="1" applyAlignment="1" applyProtection="1">
      <alignment vertical="center"/>
      <protection locked="0"/>
    </xf>
    <xf numFmtId="0" fontId="23" fillId="3" borderId="32" xfId="0" applyFont="1" applyFill="1" applyBorder="1" applyAlignment="1" applyProtection="1">
      <alignment horizontal="center"/>
      <protection locked="0"/>
    </xf>
    <xf numFmtId="0" fontId="23" fillId="3" borderId="33" xfId="0" applyFont="1" applyFill="1" applyBorder="1" applyAlignment="1" applyProtection="1">
      <alignment horizontal="center"/>
      <protection locked="0"/>
    </xf>
    <xf numFmtId="165" fontId="7" fillId="7" borderId="72" xfId="0" applyNumberFormat="1" applyFont="1" applyFill="1" applyBorder="1" applyAlignment="1" applyProtection="1">
      <alignment horizontal="right" vertical="center"/>
      <protection locked="0"/>
    </xf>
    <xf numFmtId="0" fontId="21" fillId="3" borderId="68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Protection="1">
      <protection locked="0"/>
    </xf>
    <xf numFmtId="0" fontId="4" fillId="3" borderId="51" xfId="0" applyFont="1" applyFill="1" applyBorder="1" applyAlignment="1" applyProtection="1">
      <alignment horizontal="center"/>
      <protection locked="0"/>
    </xf>
    <xf numFmtId="165" fontId="17" fillId="0" borderId="5" xfId="0" applyNumberFormat="1" applyFont="1" applyBorder="1" applyAlignment="1">
      <alignment horizontal="right"/>
    </xf>
    <xf numFmtId="165" fontId="17" fillId="0" borderId="5" xfId="0" applyNumberFormat="1" applyFont="1" applyBorder="1" applyAlignment="1">
      <alignment horizontal="right" wrapText="1"/>
    </xf>
    <xf numFmtId="165" fontId="17" fillId="0" borderId="10" xfId="0" applyNumberFormat="1" applyFont="1" applyBorder="1" applyAlignment="1">
      <alignment horizontal="right" wrapText="1"/>
    </xf>
    <xf numFmtId="165" fontId="17" fillId="0" borderId="19" xfId="0" applyNumberFormat="1" applyFont="1" applyBorder="1" applyAlignment="1">
      <alignment horizontal="right" wrapText="1"/>
    </xf>
    <xf numFmtId="165" fontId="17" fillId="0" borderId="7" xfId="0" applyNumberFormat="1" applyFont="1" applyBorder="1" applyAlignment="1">
      <alignment horizontal="right" wrapText="1"/>
    </xf>
    <xf numFmtId="165" fontId="17" fillId="0" borderId="10" xfId="0" applyNumberFormat="1" applyFont="1" applyBorder="1" applyAlignment="1">
      <alignment horizontal="right"/>
    </xf>
    <xf numFmtId="165" fontId="17" fillId="0" borderId="19" xfId="0" applyNumberFormat="1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165" fontId="17" fillId="0" borderId="22" xfId="0" applyNumberFormat="1" applyFont="1" applyBorder="1" applyAlignment="1">
      <alignment horizontal="right"/>
    </xf>
    <xf numFmtId="164" fontId="35" fillId="3" borderId="26" xfId="0" applyNumberFormat="1" applyFont="1" applyFill="1" applyBorder="1" applyAlignment="1">
      <alignment horizontal="center" vertical="center"/>
    </xf>
    <xf numFmtId="164" fontId="35" fillId="3" borderId="27" xfId="0" applyNumberFormat="1" applyFont="1" applyFill="1" applyBorder="1" applyAlignment="1">
      <alignment horizontal="center" vertical="center"/>
    </xf>
    <xf numFmtId="0" fontId="16" fillId="3" borderId="18" xfId="0" applyFont="1" applyFill="1" applyBorder="1" applyAlignment="1" applyProtection="1">
      <alignment horizontal="left" vertical="center"/>
      <protection locked="0"/>
    </xf>
    <xf numFmtId="0" fontId="16" fillId="3" borderId="14" xfId="0" applyFont="1" applyFill="1" applyBorder="1" applyAlignment="1" applyProtection="1">
      <alignment horizontal="left" vertical="center"/>
      <protection locked="0"/>
    </xf>
    <xf numFmtId="0" fontId="16" fillId="3" borderId="20" xfId="0" applyFont="1" applyFill="1" applyBorder="1" applyAlignment="1" applyProtection="1">
      <alignment horizontal="left" vertical="center"/>
      <protection locked="0"/>
    </xf>
    <xf numFmtId="0" fontId="16" fillId="3" borderId="34" xfId="0" applyFont="1" applyFill="1" applyBorder="1" applyAlignment="1" applyProtection="1">
      <alignment horizontal="left" vertical="center"/>
      <protection locked="0"/>
    </xf>
    <xf numFmtId="0" fontId="4" fillId="3" borderId="36" xfId="0" applyFont="1" applyFill="1" applyBorder="1" applyAlignment="1" applyProtection="1">
      <alignment horizontal="right" vertical="center"/>
      <protection locked="0"/>
    </xf>
    <xf numFmtId="165" fontId="18" fillId="3" borderId="26" xfId="0" applyNumberFormat="1" applyFont="1" applyFill="1" applyBorder="1" applyAlignment="1">
      <alignment horizontal="right" wrapText="1"/>
    </xf>
    <xf numFmtId="165" fontId="18" fillId="3" borderId="27" xfId="0" applyNumberFormat="1" applyFont="1" applyFill="1" applyBorder="1" applyAlignment="1">
      <alignment horizontal="right" wrapText="1"/>
    </xf>
    <xf numFmtId="165" fontId="43" fillId="0" borderId="10" xfId="0" applyNumberFormat="1" applyFont="1" applyBorder="1" applyAlignment="1">
      <alignment horizontal="right" vertical="center"/>
    </xf>
    <xf numFmtId="165" fontId="43" fillId="0" borderId="19" xfId="0" applyNumberFormat="1" applyFont="1" applyBorder="1" applyAlignment="1">
      <alignment horizontal="right" vertical="center"/>
    </xf>
    <xf numFmtId="165" fontId="43" fillId="0" borderId="5" xfId="0" applyNumberFormat="1" applyFont="1" applyBorder="1" applyAlignment="1">
      <alignment horizontal="right" vertical="center"/>
    </xf>
    <xf numFmtId="165" fontId="43" fillId="0" borderId="7" xfId="0" applyNumberFormat="1" applyFont="1" applyBorder="1" applyAlignment="1">
      <alignment horizontal="right" vertical="center"/>
    </xf>
    <xf numFmtId="165" fontId="45" fillId="0" borderId="5" xfId="0" applyNumberFormat="1" applyFont="1" applyBorder="1" applyAlignment="1" applyProtection="1">
      <alignment horizontal="right" vertical="center"/>
      <protection locked="0"/>
    </xf>
    <xf numFmtId="165" fontId="45" fillId="0" borderId="7" xfId="0" applyNumberFormat="1" applyFont="1" applyBorder="1" applyAlignment="1" applyProtection="1">
      <alignment horizontal="right" vertical="center"/>
      <protection locked="0"/>
    </xf>
    <xf numFmtId="165" fontId="44" fillId="0" borderId="5" xfId="0" applyNumberFormat="1" applyFont="1" applyBorder="1" applyAlignment="1">
      <alignment horizontal="right" vertical="center"/>
    </xf>
    <xf numFmtId="165" fontId="44" fillId="0" borderId="7" xfId="0" applyNumberFormat="1" applyFont="1" applyBorder="1" applyAlignment="1">
      <alignment horizontal="right" vertical="center"/>
    </xf>
    <xf numFmtId="165" fontId="44" fillId="3" borderId="21" xfId="0" applyNumberFormat="1" applyFont="1" applyFill="1" applyBorder="1" applyAlignment="1">
      <alignment horizontal="right" vertical="center"/>
    </xf>
    <xf numFmtId="165" fontId="44" fillId="3" borderId="22" xfId="0" applyNumberFormat="1" applyFont="1" applyFill="1" applyBorder="1" applyAlignment="1">
      <alignment horizontal="right" vertical="center"/>
    </xf>
    <xf numFmtId="165" fontId="45" fillId="0" borderId="9" xfId="0" applyNumberFormat="1" applyFont="1" applyBorder="1" applyAlignment="1" applyProtection="1">
      <alignment horizontal="right" vertical="center"/>
      <protection locked="0"/>
    </xf>
    <xf numFmtId="165" fontId="45" fillId="0" borderId="35" xfId="0" applyNumberFormat="1" applyFont="1" applyBorder="1" applyAlignment="1" applyProtection="1">
      <alignment horizontal="right" vertical="center"/>
      <protection locked="0"/>
    </xf>
    <xf numFmtId="164" fontId="44" fillId="3" borderId="37" xfId="0" applyNumberFormat="1" applyFont="1" applyFill="1" applyBorder="1" applyAlignment="1">
      <alignment horizontal="right" vertical="center"/>
    </xf>
    <xf numFmtId="164" fontId="44" fillId="3" borderId="38" xfId="0" applyNumberFormat="1" applyFont="1" applyFill="1" applyBorder="1" applyAlignment="1">
      <alignment horizontal="right" vertical="center"/>
    </xf>
    <xf numFmtId="0" fontId="48" fillId="3" borderId="59" xfId="0" applyFont="1" applyFill="1" applyBorder="1" applyAlignment="1" applyProtection="1">
      <alignment horizontal="center" wrapText="1"/>
      <protection locked="0"/>
    </xf>
    <xf numFmtId="0" fontId="48" fillId="3" borderId="70" xfId="0" applyFont="1" applyFill="1" applyBorder="1" applyAlignment="1" applyProtection="1">
      <alignment horizontal="center" wrapText="1"/>
      <protection locked="0"/>
    </xf>
    <xf numFmtId="0" fontId="46" fillId="3" borderId="91" xfId="0" applyFont="1" applyFill="1" applyBorder="1" applyAlignment="1">
      <alignment horizontal="justify" vertical="center" wrapText="1"/>
    </xf>
    <xf numFmtId="0" fontId="49" fillId="5" borderId="0" xfId="0" applyFont="1" applyFill="1"/>
    <xf numFmtId="0" fontId="49" fillId="0" borderId="0" xfId="0" applyFont="1"/>
    <xf numFmtId="0" fontId="50" fillId="3" borderId="45" xfId="0" applyFont="1" applyFill="1" applyBorder="1" applyAlignment="1" applyProtection="1">
      <alignment horizontal="center"/>
      <protection locked="0"/>
    </xf>
    <xf numFmtId="0" fontId="50" fillId="3" borderId="93" xfId="0" applyFont="1" applyFill="1" applyBorder="1" applyAlignment="1" applyProtection="1">
      <alignment horizontal="center"/>
      <protection locked="0"/>
    </xf>
    <xf numFmtId="0" fontId="9" fillId="3" borderId="85" xfId="0" applyFont="1" applyFill="1" applyBorder="1" applyAlignment="1" applyProtection="1">
      <alignment vertical="center" wrapText="1"/>
      <protection locked="0"/>
    </xf>
    <xf numFmtId="43" fontId="51" fillId="5" borderId="6" xfId="1" applyFont="1" applyFill="1" applyBorder="1" applyAlignment="1" applyProtection="1">
      <alignment horizontal="center" vertical="center" wrapText="1"/>
    </xf>
    <xf numFmtId="43" fontId="51" fillId="5" borderId="19" xfId="1" applyFont="1" applyFill="1" applyBorder="1" applyAlignment="1" applyProtection="1">
      <alignment horizontal="center" vertical="center" wrapText="1"/>
    </xf>
    <xf numFmtId="0" fontId="9" fillId="3" borderId="83" xfId="0" applyFont="1" applyFill="1" applyBorder="1" applyAlignment="1" applyProtection="1">
      <alignment vertical="center" wrapText="1"/>
      <protection locked="0"/>
    </xf>
    <xf numFmtId="0" fontId="50" fillId="3" borderId="95" xfId="0" applyFont="1" applyFill="1" applyBorder="1" applyAlignment="1" applyProtection="1">
      <alignment vertical="center" wrapText="1"/>
      <protection locked="0"/>
    </xf>
    <xf numFmtId="43" fontId="51" fillId="5" borderId="23" xfId="1" applyFont="1" applyFill="1" applyBorder="1" applyAlignment="1" applyProtection="1">
      <alignment horizontal="center" vertical="center" wrapText="1"/>
    </xf>
    <xf numFmtId="43" fontId="51" fillId="5" borderId="22" xfId="1" applyFont="1" applyFill="1" applyBorder="1" applyAlignment="1" applyProtection="1">
      <alignment horizontal="center" vertical="center" wrapText="1"/>
    </xf>
    <xf numFmtId="0" fontId="50" fillId="3" borderId="84" xfId="0" applyFont="1" applyFill="1" applyBorder="1" applyAlignment="1" applyProtection="1">
      <alignment horizontal="left" vertical="center" wrapText="1"/>
      <protection locked="0"/>
    </xf>
    <xf numFmtId="43" fontId="9" fillId="3" borderId="59" xfId="1" applyFont="1" applyFill="1" applyBorder="1" applyAlignment="1" applyProtection="1">
      <alignment horizontal="center" vertical="center" wrapText="1"/>
    </xf>
    <xf numFmtId="43" fontId="9" fillId="3" borderId="70" xfId="1" applyFont="1" applyFill="1" applyBorder="1" applyAlignment="1" applyProtection="1">
      <alignment horizontal="center" vertical="center" wrapText="1"/>
    </xf>
    <xf numFmtId="43" fontId="51" fillId="5" borderId="8" xfId="1" applyFont="1" applyFill="1" applyBorder="1" applyAlignment="1" applyProtection="1">
      <alignment horizontal="center" vertical="center" wrapText="1"/>
    </xf>
    <xf numFmtId="43" fontId="51" fillId="5" borderId="7" xfId="1" applyFont="1" applyFill="1" applyBorder="1" applyAlignment="1" applyProtection="1">
      <alignment horizontal="center" vertical="center" wrapText="1"/>
    </xf>
    <xf numFmtId="43" fontId="51" fillId="3" borderId="59" xfId="1" applyFont="1" applyFill="1" applyBorder="1" applyAlignment="1" applyProtection="1">
      <alignment horizontal="center" vertical="center" wrapText="1"/>
    </xf>
    <xf numFmtId="43" fontId="51" fillId="3" borderId="70" xfId="1" applyFont="1" applyFill="1" applyBorder="1" applyAlignment="1" applyProtection="1">
      <alignment horizontal="center" vertical="center" wrapText="1"/>
    </xf>
    <xf numFmtId="0" fontId="50" fillId="3" borderId="91" xfId="0" applyFont="1" applyFill="1" applyBorder="1" applyAlignment="1" applyProtection="1">
      <alignment vertical="center" wrapText="1"/>
      <protection locked="0"/>
    </xf>
    <xf numFmtId="43" fontId="51" fillId="3" borderId="25" xfId="1" applyFont="1" applyFill="1" applyBorder="1" applyAlignment="1" applyProtection="1">
      <alignment horizontal="center" vertical="center" wrapText="1"/>
    </xf>
    <xf numFmtId="43" fontId="51" fillId="3" borderId="27" xfId="1" applyFont="1" applyFill="1" applyBorder="1" applyAlignment="1" applyProtection="1">
      <alignment horizontal="center" vertical="center" wrapText="1"/>
    </xf>
    <xf numFmtId="0" fontId="9" fillId="3" borderId="83" xfId="0" applyFont="1" applyFill="1" applyBorder="1" applyAlignment="1" applyProtection="1">
      <alignment wrapText="1"/>
      <protection locked="0"/>
    </xf>
    <xf numFmtId="0" fontId="50" fillId="3" borderId="94" xfId="0" applyFont="1" applyFill="1" applyBorder="1" applyAlignment="1" applyProtection="1">
      <alignment wrapText="1"/>
      <protection locked="0"/>
    </xf>
    <xf numFmtId="43" fontId="51" fillId="3" borderId="77" xfId="1" applyFont="1" applyFill="1" applyBorder="1" applyAlignment="1" applyProtection="1">
      <alignment horizontal="center" vertical="center" wrapText="1"/>
    </xf>
    <xf numFmtId="43" fontId="51" fillId="3" borderId="17" xfId="1" applyFont="1" applyFill="1" applyBorder="1" applyAlignment="1" applyProtection="1">
      <alignment horizontal="center" vertical="center" wrapText="1"/>
    </xf>
    <xf numFmtId="43" fontId="54" fillId="5" borderId="8" xfId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4" fillId="3" borderId="61" xfId="0" applyFont="1" applyFill="1" applyBorder="1" applyAlignment="1" applyProtection="1">
      <alignment horizontal="center"/>
      <protection locked="0"/>
    </xf>
    <xf numFmtId="0" fontId="15" fillId="3" borderId="5" xfId="0" applyFont="1" applyFill="1" applyBorder="1" applyAlignment="1" applyProtection="1">
      <alignment horizontal="center" wrapText="1"/>
      <protection locked="0"/>
    </xf>
    <xf numFmtId="0" fontId="3" fillId="3" borderId="26" xfId="0" applyFont="1" applyFill="1" applyBorder="1" applyAlignment="1" applyProtection="1">
      <alignment horizontal="center"/>
      <protection locked="0"/>
    </xf>
    <xf numFmtId="0" fontId="49" fillId="5" borderId="4" xfId="0" applyFont="1" applyFill="1" applyBorder="1"/>
    <xf numFmtId="0" fontId="49" fillId="5" borderId="47" xfId="0" applyFont="1" applyFill="1" applyBorder="1"/>
    <xf numFmtId="0" fontId="49" fillId="5" borderId="61" xfId="0" applyFont="1" applyFill="1" applyBorder="1"/>
    <xf numFmtId="0" fontId="49" fillId="0" borderId="50" xfId="0" applyFont="1" applyBorder="1"/>
    <xf numFmtId="0" fontId="49" fillId="5" borderId="50" xfId="0" applyFont="1" applyFill="1" applyBorder="1"/>
    <xf numFmtId="0" fontId="49" fillId="5" borderId="91" xfId="0" applyFont="1" applyFill="1" applyBorder="1"/>
    <xf numFmtId="0" fontId="49" fillId="5" borderId="2" xfId="0" applyFont="1" applyFill="1" applyBorder="1"/>
    <xf numFmtId="0" fontId="49" fillId="5" borderId="1" xfId="0" applyFont="1" applyFill="1" applyBorder="1"/>
    <xf numFmtId="43" fontId="53" fillId="3" borderId="77" xfId="1" applyFont="1" applyFill="1" applyBorder="1" applyAlignment="1" applyProtection="1">
      <alignment horizontal="center" vertical="center" wrapText="1"/>
    </xf>
    <xf numFmtId="43" fontId="54" fillId="5" borderId="7" xfId="1" applyFont="1" applyFill="1" applyBorder="1" applyAlignment="1" applyProtection="1">
      <alignment horizontal="center" vertical="center" wrapText="1"/>
      <protection locked="0"/>
    </xf>
    <xf numFmtId="43" fontId="54" fillId="5" borderId="6" xfId="1" applyFont="1" applyFill="1" applyBorder="1" applyAlignment="1" applyProtection="1">
      <alignment horizontal="center" vertical="center" wrapText="1"/>
      <protection locked="0"/>
    </xf>
    <xf numFmtId="0" fontId="49" fillId="5" borderId="0" xfId="0" applyFont="1" applyFill="1" applyProtection="1">
      <protection locked="0"/>
    </xf>
    <xf numFmtId="14" fontId="49" fillId="5" borderId="0" xfId="0" applyNumberFormat="1" applyFont="1" applyFill="1"/>
    <xf numFmtId="0" fontId="49" fillId="5" borderId="4" xfId="0" applyFont="1" applyFill="1" applyBorder="1" applyProtection="1">
      <protection locked="0"/>
    </xf>
    <xf numFmtId="0" fontId="49" fillId="5" borderId="47" xfId="0" applyFont="1" applyFill="1" applyBorder="1" applyProtection="1">
      <protection locked="0"/>
    </xf>
    <xf numFmtId="0" fontId="49" fillId="5" borderId="61" xfId="0" applyFont="1" applyFill="1" applyBorder="1" applyProtection="1">
      <protection locked="0"/>
    </xf>
    <xf numFmtId="0" fontId="20" fillId="7" borderId="99" xfId="0" applyFont="1" applyFill="1" applyBorder="1" applyProtection="1">
      <protection locked="0"/>
    </xf>
    <xf numFmtId="165" fontId="7" fillId="7" borderId="99" xfId="0" applyNumberFormat="1" applyFont="1" applyFill="1" applyBorder="1" applyAlignment="1" applyProtection="1">
      <alignment horizontal="right" vertical="center"/>
      <protection locked="0"/>
    </xf>
    <xf numFmtId="0" fontId="49" fillId="5" borderId="2" xfId="0" applyFont="1" applyFill="1" applyBorder="1" applyProtection="1">
      <protection locked="0"/>
    </xf>
    <xf numFmtId="0" fontId="49" fillId="5" borderId="1" xfId="0" applyFont="1" applyFill="1" applyBorder="1" applyProtection="1">
      <protection locked="0"/>
    </xf>
    <xf numFmtId="0" fontId="4" fillId="3" borderId="21" xfId="0" applyFont="1" applyFill="1" applyBorder="1" applyAlignment="1" applyProtection="1">
      <alignment horizontal="center"/>
      <protection locked="0"/>
    </xf>
    <xf numFmtId="0" fontId="4" fillId="3" borderId="22" xfId="0" applyFont="1" applyFill="1" applyBorder="1" applyAlignment="1" applyProtection="1">
      <alignment horizontal="center"/>
      <protection locked="0"/>
    </xf>
    <xf numFmtId="0" fontId="16" fillId="3" borderId="21" xfId="0" applyFont="1" applyFill="1" applyBorder="1" applyAlignment="1" applyProtection="1">
      <alignment horizontal="center"/>
      <protection locked="0"/>
    </xf>
    <xf numFmtId="169" fontId="54" fillId="5" borderId="8" xfId="1" applyNumberFormat="1" applyFont="1" applyFill="1" applyBorder="1" applyAlignment="1" applyProtection="1">
      <alignment vertical="center" wrapText="1"/>
      <protection locked="0"/>
    </xf>
    <xf numFmtId="169" fontId="54" fillId="5" borderId="7" xfId="1" applyNumberFormat="1" applyFont="1" applyFill="1" applyBorder="1" applyAlignment="1" applyProtection="1">
      <alignment horizontal="center" vertical="center" wrapText="1"/>
      <protection locked="0"/>
    </xf>
    <xf numFmtId="43" fontId="53" fillId="3" borderId="17" xfId="1" applyFont="1" applyFill="1" applyBorder="1" applyAlignment="1" applyProtection="1">
      <alignment horizontal="center" vertical="center" wrapText="1"/>
    </xf>
    <xf numFmtId="0" fontId="57" fillId="5" borderId="61" xfId="0" applyFont="1" applyFill="1" applyBorder="1" applyProtection="1">
      <protection locked="0"/>
    </xf>
    <xf numFmtId="0" fontId="56" fillId="0" borderId="0" xfId="0" applyFont="1" applyProtection="1">
      <protection locked="0"/>
    </xf>
    <xf numFmtId="0" fontId="54" fillId="5" borderId="0" xfId="0" applyFont="1" applyFill="1" applyProtection="1">
      <protection locked="0"/>
    </xf>
    <xf numFmtId="0" fontId="54" fillId="5" borderId="61" xfId="0" applyFont="1" applyFill="1" applyBorder="1" applyProtection="1">
      <protection locked="0"/>
    </xf>
    <xf numFmtId="0" fontId="58" fillId="0" borderId="0" xfId="0" applyFont="1" applyProtection="1">
      <protection locked="0"/>
    </xf>
    <xf numFmtId="165" fontId="17" fillId="0" borderId="21" xfId="0" applyNumberFormat="1" applyFont="1" applyBorder="1" applyAlignment="1">
      <alignment horizontal="right" wrapText="1"/>
    </xf>
    <xf numFmtId="165" fontId="17" fillId="0" borderId="22" xfId="0" applyNumberFormat="1" applyFont="1" applyBorder="1" applyAlignment="1">
      <alignment horizontal="right" wrapText="1"/>
    </xf>
    <xf numFmtId="0" fontId="28" fillId="3" borderId="21" xfId="0" applyFont="1" applyFill="1" applyBorder="1" applyAlignment="1" applyProtection="1">
      <alignment vertical="center"/>
      <protection locked="0"/>
    </xf>
    <xf numFmtId="171" fontId="60" fillId="0" borderId="5" xfId="0" applyNumberFormat="1" applyFont="1" applyBorder="1" applyAlignment="1" applyProtection="1">
      <alignment horizontal="center" vertical="center"/>
      <protection locked="0"/>
    </xf>
    <xf numFmtId="0" fontId="75" fillId="0" borderId="11" xfId="0" applyFont="1" applyBorder="1" applyAlignment="1" applyProtection="1">
      <alignment horizontal="center"/>
      <protection locked="0"/>
    </xf>
    <xf numFmtId="0" fontId="77" fillId="0" borderId="0" xfId="0" applyFont="1" applyProtection="1">
      <protection locked="0"/>
    </xf>
    <xf numFmtId="0" fontId="75" fillId="0" borderId="20" xfId="0" applyFont="1" applyBorder="1" applyAlignment="1" applyProtection="1">
      <alignment horizontal="center"/>
      <protection locked="0"/>
    </xf>
    <xf numFmtId="0" fontId="77" fillId="0" borderId="18" xfId="0" applyFont="1" applyBorder="1" applyAlignment="1" applyProtection="1">
      <alignment horizontal="center"/>
      <protection locked="0"/>
    </xf>
    <xf numFmtId="0" fontId="77" fillId="0" borderId="14" xfId="0" applyFont="1" applyBorder="1" applyAlignment="1" applyProtection="1">
      <alignment horizontal="center"/>
      <protection locked="0"/>
    </xf>
    <xf numFmtId="169" fontId="79" fillId="0" borderId="5" xfId="1" applyNumberFormat="1" applyFont="1" applyFill="1" applyBorder="1" applyAlignment="1" applyProtection="1">
      <alignment horizontal="center" vertical="center"/>
      <protection locked="0"/>
    </xf>
    <xf numFmtId="169" fontId="79" fillId="0" borderId="8" xfId="1" applyNumberFormat="1" applyFont="1" applyFill="1" applyBorder="1" applyAlignment="1" applyProtection="1">
      <alignment horizontal="center" vertical="center"/>
      <protection locked="0"/>
    </xf>
    <xf numFmtId="0" fontId="80" fillId="0" borderId="36" xfId="0" applyFont="1" applyBorder="1" applyAlignment="1" applyProtection="1">
      <alignment horizontal="center"/>
      <protection locked="0"/>
    </xf>
    <xf numFmtId="0" fontId="80" fillId="0" borderId="0" xfId="0" applyFont="1" applyProtection="1">
      <protection locked="0"/>
    </xf>
    <xf numFmtId="2" fontId="77" fillId="0" borderId="0" xfId="0" applyNumberFormat="1" applyFont="1" applyProtection="1">
      <protection locked="0"/>
    </xf>
    <xf numFmtId="169" fontId="81" fillId="0" borderId="10" xfId="1" applyNumberFormat="1" applyFont="1" applyFill="1" applyBorder="1" applyAlignment="1" applyProtection="1">
      <alignment horizontal="center" vertical="center"/>
    </xf>
    <xf numFmtId="169" fontId="81" fillId="0" borderId="6" xfId="1" applyNumberFormat="1" applyFont="1" applyFill="1" applyBorder="1" applyAlignment="1" applyProtection="1">
      <alignment horizontal="center" vertical="center"/>
    </xf>
    <xf numFmtId="0" fontId="82" fillId="0" borderId="10" xfId="0" applyFont="1" applyBorder="1" applyAlignment="1" applyProtection="1">
      <alignment horizontal="center" vertical="center"/>
      <protection locked="0"/>
    </xf>
    <xf numFmtId="169" fontId="81" fillId="0" borderId="64" xfId="1" applyNumberFormat="1" applyFont="1" applyFill="1" applyBorder="1" applyAlignment="1" applyProtection="1">
      <alignment horizontal="center" vertical="center"/>
    </xf>
    <xf numFmtId="0" fontId="82" fillId="0" borderId="5" xfId="0" applyFont="1" applyBorder="1" applyAlignment="1" applyProtection="1">
      <alignment horizontal="center" vertical="center"/>
      <protection locked="0"/>
    </xf>
    <xf numFmtId="169" fontId="79" fillId="0" borderId="65" xfId="1" applyNumberFormat="1" applyFont="1" applyFill="1" applyBorder="1" applyAlignment="1" applyProtection="1">
      <alignment horizontal="center" vertical="center"/>
      <protection locked="0"/>
    </xf>
    <xf numFmtId="170" fontId="83" fillId="0" borderId="5" xfId="0" applyNumberFormat="1" applyFont="1" applyBorder="1" applyAlignment="1" applyProtection="1">
      <alignment horizontal="center" vertical="center"/>
      <protection locked="0"/>
    </xf>
    <xf numFmtId="1" fontId="58" fillId="0" borderId="0" xfId="0" applyNumberFormat="1" applyFont="1" applyProtection="1">
      <protection locked="0"/>
    </xf>
    <xf numFmtId="170" fontId="82" fillId="0" borderId="9" xfId="0" applyNumberFormat="1" applyFont="1" applyBorder="1" applyAlignment="1" applyProtection="1">
      <alignment horizontal="center" vertical="center"/>
      <protection locked="0"/>
    </xf>
    <xf numFmtId="0" fontId="82" fillId="0" borderId="21" xfId="0" applyFont="1" applyBorder="1" applyAlignment="1" applyProtection="1">
      <alignment horizontal="center" vertical="center"/>
      <protection locked="0"/>
    </xf>
    <xf numFmtId="0" fontId="24" fillId="0" borderId="39" xfId="0" applyFont="1" applyBorder="1" applyAlignment="1" applyProtection="1">
      <alignment horizontal="center"/>
      <protection locked="0"/>
    </xf>
    <xf numFmtId="0" fontId="24" fillId="0" borderId="14" xfId="0" applyFont="1" applyBorder="1" applyAlignment="1" applyProtection="1">
      <alignment horizontal="center"/>
      <protection locked="0"/>
    </xf>
    <xf numFmtId="0" fontId="24" fillId="0" borderId="15" xfId="0" applyFont="1" applyBorder="1" applyAlignment="1" applyProtection="1">
      <alignment horizontal="center"/>
      <protection locked="0"/>
    </xf>
    <xf numFmtId="9" fontId="76" fillId="0" borderId="56" xfId="0" applyNumberFormat="1" applyFont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 applyProtection="1">
      <alignment horizontal="center"/>
      <protection locked="0"/>
    </xf>
    <xf numFmtId="0" fontId="24" fillId="0" borderId="20" xfId="0" applyFont="1" applyBorder="1" applyAlignment="1" applyProtection="1">
      <alignment horizontal="center"/>
      <protection locked="0"/>
    </xf>
    <xf numFmtId="0" fontId="76" fillId="0" borderId="21" xfId="0" applyFont="1" applyBorder="1" applyAlignment="1" applyProtection="1">
      <alignment horizontal="center"/>
      <protection locked="0"/>
    </xf>
    <xf numFmtId="0" fontId="76" fillId="0" borderId="22" xfId="0" applyFont="1" applyBorder="1" applyAlignment="1" applyProtection="1">
      <alignment horizontal="center"/>
      <protection locked="0"/>
    </xf>
    <xf numFmtId="0" fontId="24" fillId="0" borderId="18" xfId="0" applyFont="1" applyBorder="1" applyAlignment="1" applyProtection="1">
      <alignment horizontal="center"/>
      <protection locked="0"/>
    </xf>
    <xf numFmtId="0" fontId="59" fillId="0" borderId="10" xfId="0" applyFont="1" applyBorder="1" applyAlignment="1">
      <alignment vertical="center"/>
    </xf>
    <xf numFmtId="0" fontId="59" fillId="0" borderId="10" xfId="0" applyFont="1" applyBorder="1" applyAlignment="1">
      <alignment horizontal="right"/>
    </xf>
    <xf numFmtId="0" fontId="59" fillId="0" borderId="19" xfId="0" applyFont="1" applyBorder="1" applyAlignment="1">
      <alignment horizontal="right"/>
    </xf>
    <xf numFmtId="0" fontId="59" fillId="0" borderId="5" xfId="0" applyFont="1" applyBorder="1" applyAlignment="1">
      <alignment vertical="center"/>
    </xf>
    <xf numFmtId="0" fontId="24" fillId="0" borderId="36" xfId="0" applyFont="1" applyBorder="1" applyAlignment="1" applyProtection="1">
      <alignment horizontal="center"/>
      <protection locked="0"/>
    </xf>
    <xf numFmtId="1" fontId="84" fillId="0" borderId="37" xfId="0" applyNumberFormat="1" applyFont="1" applyBorder="1" applyAlignment="1">
      <alignment horizontal="right"/>
    </xf>
    <xf numFmtId="1" fontId="84" fillId="0" borderId="38" xfId="0" applyNumberFormat="1" applyFont="1" applyBorder="1" applyAlignment="1">
      <alignment horizontal="right"/>
    </xf>
    <xf numFmtId="9" fontId="87" fillId="0" borderId="13" xfId="0" applyNumberFormat="1" applyFont="1" applyBorder="1" applyAlignment="1">
      <alignment horizontal="center" vertical="center" wrapText="1"/>
    </xf>
    <xf numFmtId="4" fontId="59" fillId="0" borderId="10" xfId="0" applyNumberFormat="1" applyFont="1" applyBorder="1" applyAlignment="1">
      <alignment horizontal="right"/>
    </xf>
    <xf numFmtId="4" fontId="59" fillId="0" borderId="19" xfId="0" applyNumberFormat="1" applyFont="1" applyBorder="1" applyAlignment="1">
      <alignment horizontal="right"/>
    </xf>
    <xf numFmtId="164" fontId="59" fillId="0" borderId="5" xfId="0" applyNumberFormat="1" applyFont="1" applyBorder="1" applyAlignment="1">
      <alignment vertical="center"/>
    </xf>
    <xf numFmtId="169" fontId="81" fillId="0" borderId="5" xfId="1" applyNumberFormat="1" applyFont="1" applyFill="1" applyBorder="1" applyAlignment="1" applyProtection="1">
      <alignment horizontal="center" vertical="center"/>
    </xf>
    <xf numFmtId="164" fontId="81" fillId="0" borderId="5" xfId="0" applyNumberFormat="1" applyFont="1" applyBorder="1" applyAlignment="1">
      <alignment horizontal="center" vertical="center"/>
    </xf>
    <xf numFmtId="43" fontId="81" fillId="0" borderId="5" xfId="0" applyNumberFormat="1" applyFont="1" applyBorder="1" applyAlignment="1">
      <alignment horizontal="center" vertical="center"/>
    </xf>
    <xf numFmtId="164" fontId="59" fillId="0" borderId="7" xfId="0" applyNumberFormat="1" applyFont="1" applyBorder="1" applyAlignment="1" applyProtection="1">
      <alignment horizontal="center"/>
      <protection locked="0"/>
    </xf>
    <xf numFmtId="0" fontId="72" fillId="0" borderId="36" xfId="0" applyFont="1" applyBorder="1" applyAlignment="1" applyProtection="1">
      <alignment horizontal="center"/>
      <protection locked="0"/>
    </xf>
    <xf numFmtId="169" fontId="84" fillId="0" borderId="37" xfId="1" applyNumberFormat="1" applyFont="1" applyFill="1" applyBorder="1" applyAlignment="1" applyProtection="1"/>
    <xf numFmtId="0" fontId="58" fillId="0" borderId="0" xfId="0" applyFont="1" applyAlignment="1" applyProtection="1">
      <alignment horizontal="center"/>
      <protection locked="0"/>
    </xf>
    <xf numFmtId="169" fontId="78" fillId="0" borderId="109" xfId="1" applyNumberFormat="1" applyFont="1" applyFill="1" applyBorder="1" applyAlignment="1" applyProtection="1">
      <alignment horizontal="right"/>
    </xf>
    <xf numFmtId="169" fontId="78" fillId="0" borderId="110" xfId="1" applyNumberFormat="1" applyFont="1" applyFill="1" applyBorder="1" applyAlignment="1" applyProtection="1">
      <alignment horizontal="right"/>
    </xf>
    <xf numFmtId="169" fontId="78" fillId="0" borderId="107" xfId="1" applyNumberFormat="1" applyFont="1" applyFill="1" applyBorder="1" applyAlignment="1" applyProtection="1">
      <alignment horizontal="right"/>
    </xf>
    <xf numFmtId="169" fontId="78" fillId="0" borderId="111" xfId="1" applyNumberFormat="1" applyFont="1" applyFill="1" applyBorder="1" applyAlignment="1" applyProtection="1">
      <alignment horizontal="right"/>
    </xf>
    <xf numFmtId="0" fontId="77" fillId="0" borderId="85" xfId="0" applyFont="1" applyBorder="1" applyAlignment="1" applyProtection="1">
      <alignment horizontal="center"/>
      <protection locked="0"/>
    </xf>
    <xf numFmtId="0" fontId="77" fillId="0" borderId="83" xfId="0" applyFont="1" applyBorder="1" applyAlignment="1" applyProtection="1">
      <alignment horizontal="center"/>
      <protection locked="0"/>
    </xf>
    <xf numFmtId="1" fontId="77" fillId="0" borderId="83" xfId="0" applyNumberFormat="1" applyFont="1" applyBorder="1" applyAlignment="1" applyProtection="1">
      <alignment horizontal="center"/>
      <protection locked="0"/>
    </xf>
    <xf numFmtId="0" fontId="80" fillId="0" borderId="87" xfId="0" applyFont="1" applyBorder="1" applyAlignment="1" applyProtection="1">
      <alignment horizontal="center"/>
      <protection locked="0"/>
    </xf>
    <xf numFmtId="0" fontId="59" fillId="0" borderId="18" xfId="0" applyFont="1" applyBorder="1" applyAlignment="1" applyProtection="1">
      <alignment vertical="center" wrapText="1"/>
      <protection locked="0"/>
    </xf>
    <xf numFmtId="0" fontId="59" fillId="0" borderId="14" xfId="0" applyFont="1" applyBorder="1" applyAlignment="1" applyProtection="1">
      <alignment vertical="center" wrapText="1"/>
      <protection locked="0"/>
    </xf>
    <xf numFmtId="1" fontId="59" fillId="0" borderId="14" xfId="0" applyNumberFormat="1" applyFont="1" applyBorder="1" applyAlignment="1" applyProtection="1">
      <alignment vertical="center" wrapText="1"/>
      <protection locked="0"/>
    </xf>
    <xf numFmtId="1" fontId="59" fillId="0" borderId="34" xfId="0" applyNumberFormat="1" applyFont="1" applyBorder="1" applyAlignment="1" applyProtection="1">
      <alignment vertical="center" wrapText="1"/>
      <protection locked="0"/>
    </xf>
    <xf numFmtId="0" fontId="59" fillId="0" borderId="20" xfId="0" applyFont="1" applyBorder="1" applyAlignment="1" applyProtection="1">
      <alignment vertical="center"/>
      <protection locked="0"/>
    </xf>
    <xf numFmtId="0" fontId="58" fillId="5" borderId="0" xfId="0" applyFont="1" applyFill="1" applyProtection="1">
      <protection locked="0"/>
    </xf>
    <xf numFmtId="43" fontId="54" fillId="5" borderId="0" xfId="0" applyNumberFormat="1" applyFont="1" applyFill="1" applyProtection="1">
      <protection locked="0"/>
    </xf>
    <xf numFmtId="0" fontId="72" fillId="5" borderId="0" xfId="0" applyFont="1" applyFill="1" applyProtection="1">
      <protection locked="0"/>
    </xf>
    <xf numFmtId="0" fontId="54" fillId="5" borderId="47" xfId="0" applyFont="1" applyFill="1" applyBorder="1" applyProtection="1">
      <protection locked="0"/>
    </xf>
    <xf numFmtId="1" fontId="54" fillId="5" borderId="61" xfId="0" applyNumberFormat="1" applyFont="1" applyFill="1" applyBorder="1" applyProtection="1">
      <protection locked="0"/>
    </xf>
    <xf numFmtId="0" fontId="54" fillId="5" borderId="1" xfId="0" applyFont="1" applyFill="1" applyBorder="1" applyProtection="1">
      <protection locked="0"/>
    </xf>
    <xf numFmtId="2" fontId="72" fillId="5" borderId="0" xfId="0" applyNumberFormat="1" applyFont="1" applyFill="1" applyProtection="1">
      <protection locked="0"/>
    </xf>
    <xf numFmtId="0" fontId="54" fillId="5" borderId="0" xfId="0" applyFont="1" applyFill="1" applyAlignment="1" applyProtection="1">
      <alignment horizontal="center" vertical="center"/>
      <protection locked="0"/>
    </xf>
    <xf numFmtId="0" fontId="75" fillId="5" borderId="82" xfId="0" applyFont="1" applyFill="1" applyBorder="1" applyAlignment="1" applyProtection="1">
      <alignment horizontal="center"/>
      <protection locked="0"/>
    </xf>
    <xf numFmtId="0" fontId="75" fillId="5" borderId="84" xfId="0" applyFont="1" applyFill="1" applyBorder="1" applyAlignment="1" applyProtection="1">
      <alignment horizontal="center"/>
      <protection locked="0"/>
    </xf>
    <xf numFmtId="0" fontId="54" fillId="5" borderId="4" xfId="0" applyFont="1" applyFill="1" applyBorder="1" applyProtection="1">
      <protection locked="0"/>
    </xf>
    <xf numFmtId="0" fontId="54" fillId="5" borderId="2" xfId="0" applyFont="1" applyFill="1" applyBorder="1" applyProtection="1">
      <protection locked="0"/>
    </xf>
    <xf numFmtId="169" fontId="89" fillId="0" borderId="10" xfId="1" applyNumberFormat="1" applyFont="1" applyFill="1" applyBorder="1" applyAlignment="1" applyProtection="1">
      <alignment horizontal="center" vertical="center"/>
    </xf>
    <xf numFmtId="169" fontId="89" fillId="0" borderId="6" xfId="1" applyNumberFormat="1" applyFont="1" applyFill="1" applyBorder="1" applyAlignment="1" applyProtection="1">
      <alignment horizontal="center" vertical="center"/>
    </xf>
    <xf numFmtId="172" fontId="90" fillId="0" borderId="104" xfId="1" applyNumberFormat="1" applyFont="1" applyFill="1" applyBorder="1" applyProtection="1"/>
    <xf numFmtId="172" fontId="90" fillId="0" borderId="19" xfId="1" applyNumberFormat="1" applyFont="1" applyFill="1" applyBorder="1" applyProtection="1"/>
    <xf numFmtId="172" fontId="91" fillId="0" borderId="104" xfId="1" applyNumberFormat="1" applyFont="1" applyFill="1" applyBorder="1" applyProtection="1"/>
    <xf numFmtId="172" fontId="91" fillId="0" borderId="19" xfId="1" applyNumberFormat="1" applyFont="1" applyFill="1" applyBorder="1" applyProtection="1"/>
    <xf numFmtId="169" fontId="91" fillId="0" borderId="105" xfId="1" applyNumberFormat="1" applyFont="1" applyFill="1" applyBorder="1" applyProtection="1"/>
    <xf numFmtId="169" fontId="91" fillId="0" borderId="38" xfId="1" applyNumberFormat="1" applyFont="1" applyFill="1" applyBorder="1" applyProtection="1"/>
    <xf numFmtId="169" fontId="92" fillId="0" borderId="37" xfId="1" applyNumberFormat="1" applyFont="1" applyFill="1" applyBorder="1" applyProtection="1"/>
    <xf numFmtId="169" fontId="92" fillId="0" borderId="57" xfId="1" applyNumberFormat="1" applyFont="1" applyFill="1" applyBorder="1" applyProtection="1"/>
    <xf numFmtId="169" fontId="91" fillId="0" borderId="37" xfId="1" applyNumberFormat="1" applyFont="1" applyFill="1" applyBorder="1" applyProtection="1"/>
    <xf numFmtId="169" fontId="91" fillId="0" borderId="57" xfId="1" applyNumberFormat="1" applyFont="1" applyFill="1" applyBorder="1" applyProtection="1"/>
    <xf numFmtId="169" fontId="89" fillId="0" borderId="64" xfId="1" applyNumberFormat="1" applyFont="1" applyFill="1" applyBorder="1" applyAlignment="1" applyProtection="1">
      <alignment horizontal="center" vertical="center"/>
    </xf>
    <xf numFmtId="169" fontId="94" fillId="0" borderId="104" xfId="1" applyNumberFormat="1" applyFont="1" applyFill="1" applyBorder="1" applyAlignment="1" applyProtection="1">
      <alignment horizontal="center" vertical="center"/>
    </xf>
    <xf numFmtId="169" fontId="94" fillId="0" borderId="19" xfId="1" applyNumberFormat="1" applyFont="1" applyFill="1" applyBorder="1" applyAlignment="1" applyProtection="1">
      <alignment horizontal="center" vertical="center"/>
    </xf>
    <xf numFmtId="169" fontId="89" fillId="0" borderId="64" xfId="1" applyNumberFormat="1" applyFont="1" applyFill="1" applyBorder="1" applyAlignment="1" applyProtection="1">
      <alignment horizontal="right" vertical="center"/>
    </xf>
    <xf numFmtId="169" fontId="89" fillId="0" borderId="106" xfId="1" applyNumberFormat="1" applyFont="1" applyFill="1" applyBorder="1" applyAlignment="1" applyProtection="1">
      <alignment horizontal="right" vertical="center"/>
    </xf>
    <xf numFmtId="169" fontId="90" fillId="0" borderId="37" xfId="1" applyNumberFormat="1" applyFont="1" applyFill="1" applyBorder="1" applyProtection="1"/>
    <xf numFmtId="169" fontId="90" fillId="0" borderId="57" xfId="1" applyNumberFormat="1" applyFont="1" applyFill="1" applyBorder="1" applyProtection="1"/>
    <xf numFmtId="169" fontId="90" fillId="0" borderId="105" xfId="1" applyNumberFormat="1" applyFont="1" applyFill="1" applyBorder="1" applyProtection="1"/>
    <xf numFmtId="169" fontId="90" fillId="0" borderId="38" xfId="1" applyNumberFormat="1" applyFont="1" applyFill="1" applyBorder="1" applyProtection="1"/>
    <xf numFmtId="169" fontId="10" fillId="0" borderId="5" xfId="1" applyNumberFormat="1" applyFont="1" applyBorder="1" applyAlignment="1" applyProtection="1">
      <alignment horizontal="center" vertical="center"/>
      <protection locked="0"/>
    </xf>
    <xf numFmtId="0" fontId="73" fillId="5" borderId="0" xfId="0" applyFont="1" applyFill="1" applyAlignment="1" applyProtection="1">
      <alignment horizontal="right" vertical="center" wrapText="1"/>
      <protection locked="0"/>
    </xf>
    <xf numFmtId="0" fontId="72" fillId="5" borderId="0" xfId="0" applyFont="1" applyFill="1" applyAlignment="1" applyProtection="1">
      <alignment horizontal="right" vertical="center" wrapText="1"/>
      <protection locked="0"/>
    </xf>
    <xf numFmtId="169" fontId="85" fillId="5" borderId="0" xfId="1" applyNumberFormat="1" applyFont="1" applyFill="1" applyBorder="1" applyProtection="1">
      <protection locked="0"/>
    </xf>
    <xf numFmtId="164" fontId="86" fillId="5" borderId="0" xfId="0" applyNumberFormat="1" applyFont="1" applyFill="1" applyProtection="1">
      <protection locked="0"/>
    </xf>
    <xf numFmtId="164" fontId="44" fillId="3" borderId="112" xfId="0" applyNumberFormat="1" applyFont="1" applyFill="1" applyBorder="1" applyAlignment="1">
      <alignment horizontal="right" vertical="center"/>
    </xf>
    <xf numFmtId="43" fontId="10" fillId="0" borderId="65" xfId="1" applyFont="1" applyBorder="1" applyProtection="1">
      <protection locked="0"/>
    </xf>
    <xf numFmtId="0" fontId="95" fillId="0" borderId="65" xfId="0" applyFont="1" applyBorder="1" applyAlignment="1" applyProtection="1">
      <alignment horizontal="center" vertical="center" wrapText="1"/>
      <protection locked="0"/>
    </xf>
    <xf numFmtId="169" fontId="10" fillId="0" borderId="65" xfId="1" applyNumberFormat="1" applyFont="1" applyBorder="1" applyProtection="1">
      <protection locked="0"/>
    </xf>
    <xf numFmtId="0" fontId="4" fillId="3" borderId="43" xfId="0" applyFont="1" applyFill="1" applyBorder="1" applyAlignment="1" applyProtection="1">
      <alignment horizontal="center"/>
      <protection locked="0"/>
    </xf>
    <xf numFmtId="0" fontId="20" fillId="7" borderId="72" xfId="0" applyFont="1" applyFill="1" applyBorder="1" applyAlignment="1" applyProtection="1">
      <alignment horizontal="center"/>
      <protection hidden="1"/>
    </xf>
    <xf numFmtId="0" fontId="49" fillId="5" borderId="0" xfId="0" applyFont="1" applyFill="1" applyAlignment="1" applyProtection="1">
      <alignment horizontal="center"/>
      <protection hidden="1"/>
    </xf>
    <xf numFmtId="165" fontId="15" fillId="0" borderId="10" xfId="0" applyNumberFormat="1" applyFont="1" applyBorder="1" applyAlignment="1" applyProtection="1">
      <alignment horizontal="center"/>
      <protection locked="0"/>
    </xf>
    <xf numFmtId="165" fontId="17" fillId="0" borderId="5" xfId="0" applyNumberFormat="1" applyFont="1" applyBorder="1" applyAlignment="1">
      <alignment horizontal="center"/>
    </xf>
    <xf numFmtId="165" fontId="15" fillId="0" borderId="5" xfId="0" applyNumberFormat="1" applyFont="1" applyBorder="1" applyAlignment="1" applyProtection="1">
      <alignment horizontal="center"/>
      <protection locked="0"/>
    </xf>
    <xf numFmtId="165" fontId="28" fillId="0" borderId="5" xfId="0" applyNumberFormat="1" applyFont="1" applyBorder="1" applyAlignment="1">
      <alignment horizontal="center"/>
    </xf>
    <xf numFmtId="165" fontId="15" fillId="0" borderId="21" xfId="0" applyNumberFormat="1" applyFont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49" fillId="5" borderId="0" xfId="0" applyFont="1" applyFill="1" applyAlignment="1" applyProtection="1">
      <alignment horizontal="center"/>
      <protection locked="0"/>
    </xf>
    <xf numFmtId="0" fontId="7" fillId="7" borderId="72" xfId="0" applyFont="1" applyFill="1" applyBorder="1" applyAlignment="1" applyProtection="1">
      <alignment horizontal="center"/>
      <protection locked="0"/>
    </xf>
    <xf numFmtId="165" fontId="17" fillId="0" borderId="40" xfId="0" applyNumberFormat="1" applyFont="1" applyBorder="1" applyAlignment="1">
      <alignment horizontal="center" wrapText="1"/>
    </xf>
    <xf numFmtId="165" fontId="17" fillId="0" borderId="10" xfId="0" applyNumberFormat="1" applyFont="1" applyBorder="1" applyAlignment="1">
      <alignment horizontal="center" wrapText="1"/>
    </xf>
    <xf numFmtId="165" fontId="17" fillId="0" borderId="21" xfId="0" applyNumberFormat="1" applyFont="1" applyBorder="1" applyAlignment="1">
      <alignment horizontal="center" wrapText="1"/>
    </xf>
    <xf numFmtId="165" fontId="18" fillId="3" borderId="26" xfId="0" applyNumberFormat="1" applyFont="1" applyFill="1" applyBorder="1" applyAlignment="1">
      <alignment horizontal="center" wrapText="1"/>
    </xf>
    <xf numFmtId="165" fontId="17" fillId="0" borderId="10" xfId="0" applyNumberFormat="1" applyFont="1" applyBorder="1" applyAlignment="1">
      <alignment horizontal="center"/>
    </xf>
    <xf numFmtId="165" fontId="17" fillId="0" borderId="21" xfId="0" applyNumberFormat="1" applyFont="1" applyBorder="1" applyAlignment="1">
      <alignment horizontal="center"/>
    </xf>
    <xf numFmtId="165" fontId="35" fillId="3" borderId="26" xfId="0" applyNumberFormat="1" applyFont="1" applyFill="1" applyBorder="1" applyAlignment="1">
      <alignment horizontal="center"/>
    </xf>
    <xf numFmtId="165" fontId="17" fillId="0" borderId="19" xfId="0" applyNumberFormat="1" applyFont="1" applyBorder="1" applyAlignment="1">
      <alignment horizontal="center"/>
    </xf>
    <xf numFmtId="165" fontId="17" fillId="0" borderId="7" xfId="0" applyNumberFormat="1" applyFont="1" applyBorder="1" applyAlignment="1">
      <alignment horizontal="center"/>
    </xf>
    <xf numFmtId="165" fontId="35" fillId="3" borderId="17" xfId="0" applyNumberFormat="1" applyFont="1" applyFill="1" applyBorder="1" applyAlignment="1">
      <alignment horizontal="center"/>
    </xf>
    <xf numFmtId="165" fontId="4" fillId="7" borderId="72" xfId="0" applyNumberFormat="1" applyFont="1" applyFill="1" applyBorder="1" applyAlignment="1" applyProtection="1">
      <alignment horizontal="center"/>
      <protection locked="0"/>
    </xf>
    <xf numFmtId="165" fontId="7" fillId="7" borderId="72" xfId="0" applyNumberFormat="1" applyFont="1" applyFill="1" applyBorder="1" applyAlignment="1" applyProtection="1">
      <alignment horizontal="center" vertical="center"/>
      <protection locked="0"/>
    </xf>
    <xf numFmtId="165" fontId="43" fillId="0" borderId="10" xfId="0" applyNumberFormat="1" applyFont="1" applyBorder="1" applyAlignment="1">
      <alignment horizontal="center" vertical="center"/>
    </xf>
    <xf numFmtId="165" fontId="43" fillId="0" borderId="5" xfId="0" applyNumberFormat="1" applyFont="1" applyBorder="1" applyAlignment="1">
      <alignment horizontal="center" vertical="center"/>
    </xf>
    <xf numFmtId="165" fontId="45" fillId="0" borderId="5" xfId="0" applyNumberFormat="1" applyFont="1" applyBorder="1" applyAlignment="1" applyProtection="1">
      <alignment horizontal="center" vertical="center"/>
      <protection locked="0"/>
    </xf>
    <xf numFmtId="165" fontId="44" fillId="0" borderId="5" xfId="0" applyNumberFormat="1" applyFont="1" applyBorder="1" applyAlignment="1">
      <alignment horizontal="center" vertical="center"/>
    </xf>
    <xf numFmtId="165" fontId="44" fillId="3" borderId="21" xfId="0" applyNumberFormat="1" applyFont="1" applyFill="1" applyBorder="1" applyAlignment="1">
      <alignment horizontal="center" vertical="center"/>
    </xf>
    <xf numFmtId="165" fontId="43" fillId="0" borderId="9" xfId="0" applyNumberFormat="1" applyFont="1" applyBorder="1" applyAlignment="1">
      <alignment horizontal="center" vertical="center"/>
    </xf>
    <xf numFmtId="164" fontId="44" fillId="3" borderId="37" xfId="0" applyNumberFormat="1" applyFont="1" applyFill="1" applyBorder="1" applyAlignment="1">
      <alignment horizontal="center" vertical="center"/>
    </xf>
    <xf numFmtId="0" fontId="4" fillId="3" borderId="73" xfId="0" applyFont="1" applyFill="1" applyBorder="1" applyAlignment="1" applyProtection="1">
      <alignment horizontal="center"/>
      <protection locked="0"/>
    </xf>
    <xf numFmtId="0" fontId="20" fillId="7" borderId="72" xfId="0" applyFont="1" applyFill="1" applyBorder="1" applyAlignment="1" applyProtection="1">
      <alignment horizontal="center"/>
      <protection locked="0"/>
    </xf>
    <xf numFmtId="165" fontId="35" fillId="0" borderId="9" xfId="0" applyNumberFormat="1" applyFont="1" applyBorder="1" applyAlignment="1">
      <alignment horizontal="center"/>
    </xf>
    <xf numFmtId="165" fontId="40" fillId="0" borderId="10" xfId="0" applyNumberFormat="1" applyFont="1" applyBorder="1" applyAlignment="1" applyProtection="1">
      <alignment horizontal="center"/>
      <protection locked="0"/>
    </xf>
    <xf numFmtId="0" fontId="24" fillId="0" borderId="5" xfId="0" applyFont="1" applyBorder="1" applyAlignment="1" applyProtection="1">
      <alignment horizontal="center"/>
      <protection locked="0"/>
    </xf>
    <xf numFmtId="165" fontId="24" fillId="0" borderId="21" xfId="0" applyNumberFormat="1" applyFont="1" applyBorder="1" applyAlignment="1" applyProtection="1">
      <alignment horizontal="center"/>
      <protection locked="0"/>
    </xf>
    <xf numFmtId="165" fontId="35" fillId="3" borderId="26" xfId="0" applyNumberFormat="1" applyFont="1" applyFill="1" applyBorder="1" applyAlignment="1" applyProtection="1">
      <alignment horizontal="center"/>
      <protection locked="0"/>
    </xf>
    <xf numFmtId="0" fontId="49" fillId="5" borderId="0" xfId="0" applyFont="1" applyFill="1" applyAlignment="1">
      <alignment horizontal="center"/>
    </xf>
    <xf numFmtId="0" fontId="49" fillId="5" borderId="2" xfId="0" applyFont="1" applyFill="1" applyBorder="1" applyAlignment="1" applyProtection="1">
      <alignment horizontal="center"/>
      <protection locked="0"/>
    </xf>
    <xf numFmtId="43" fontId="10" fillId="0" borderId="65" xfId="1" applyFont="1" applyBorder="1" applyAlignment="1" applyProtection="1">
      <alignment horizontal="center"/>
      <protection locked="0"/>
    </xf>
    <xf numFmtId="0" fontId="0" fillId="7" borderId="98" xfId="0" applyFill="1" applyBorder="1" applyAlignment="1" applyProtection="1">
      <alignment horizontal="center" vertical="center"/>
      <protection hidden="1"/>
    </xf>
    <xf numFmtId="0" fontId="6" fillId="7" borderId="72" xfId="0" applyFont="1" applyFill="1" applyBorder="1" applyAlignment="1" applyProtection="1">
      <alignment vertical="center"/>
      <protection hidden="1"/>
    </xf>
    <xf numFmtId="0" fontId="49" fillId="5" borderId="0" xfId="0" applyFont="1" applyFill="1" applyAlignment="1" applyProtection="1">
      <alignment vertical="center"/>
      <protection hidden="1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>
      <alignment horizontal="left" vertical="center"/>
    </xf>
    <xf numFmtId="0" fontId="0" fillId="3" borderId="18" xfId="0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>
      <alignment vertical="center"/>
    </xf>
    <xf numFmtId="0" fontId="2" fillId="3" borderId="8" xfId="0" applyFont="1" applyFill="1" applyBorder="1" applyAlignment="1" applyProtection="1">
      <alignment vertical="center"/>
      <protection locked="0"/>
    </xf>
    <xf numFmtId="0" fontId="41" fillId="3" borderId="8" xfId="0" applyFont="1" applyFill="1" applyBorder="1" applyAlignment="1">
      <alignment vertical="center"/>
    </xf>
    <xf numFmtId="0" fontId="2" fillId="3" borderId="23" xfId="0" applyFont="1" applyFill="1" applyBorder="1" applyAlignment="1" applyProtection="1">
      <alignment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3" borderId="21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horizontal="right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right" vertical="center"/>
      <protection locked="0"/>
    </xf>
    <xf numFmtId="0" fontId="49" fillId="5" borderId="50" xfId="0" applyFont="1" applyFill="1" applyBorder="1" applyAlignment="1" applyProtection="1">
      <alignment vertical="center"/>
      <protection locked="0"/>
    </xf>
    <xf numFmtId="0" fontId="49" fillId="5" borderId="0" xfId="0" applyFont="1" applyFill="1" applyAlignment="1" applyProtection="1">
      <alignment vertical="center"/>
      <protection locked="0"/>
    </xf>
    <xf numFmtId="0" fontId="0" fillId="7" borderId="98" xfId="0" applyFill="1" applyBorder="1" applyAlignment="1" applyProtection="1">
      <alignment horizontal="center" vertical="center"/>
      <protection locked="0"/>
    </xf>
    <xf numFmtId="0" fontId="28" fillId="3" borderId="10" xfId="0" applyFont="1" applyFill="1" applyBorder="1" applyAlignment="1">
      <alignment vertical="center" wrapText="1"/>
    </xf>
    <xf numFmtId="0" fontId="28" fillId="4" borderId="5" xfId="0" applyFont="1" applyFill="1" applyBorder="1" applyAlignment="1" applyProtection="1">
      <alignment vertical="center" wrapText="1"/>
      <protection locked="0"/>
    </xf>
    <xf numFmtId="0" fontId="42" fillId="3" borderId="20" xfId="0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 applyProtection="1">
      <alignment horizontal="right" vertical="center" wrapText="1"/>
      <protection locked="0"/>
    </xf>
    <xf numFmtId="0" fontId="42" fillId="3" borderId="11" xfId="0" applyFont="1" applyFill="1" applyBorder="1" applyAlignment="1" applyProtection="1">
      <alignment horizontal="center" vertical="center"/>
      <protection locked="0"/>
    </xf>
    <xf numFmtId="0" fontId="42" fillId="3" borderId="97" xfId="0" applyFont="1" applyFill="1" applyBorder="1" applyAlignment="1" applyProtection="1">
      <alignment horizontal="center" vertical="center"/>
      <protection locked="0"/>
    </xf>
    <xf numFmtId="0" fontId="4" fillId="3" borderId="45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2" fillId="3" borderId="52" xfId="0" applyFont="1" applyFill="1" applyBorder="1" applyAlignment="1" applyProtection="1">
      <alignment horizontal="center" vertical="center"/>
      <protection locked="0"/>
    </xf>
    <xf numFmtId="0" fontId="42" fillId="3" borderId="24" xfId="0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 applyProtection="1">
      <alignment horizontal="right" vertical="center"/>
      <protection locked="0"/>
    </xf>
    <xf numFmtId="0" fontId="42" fillId="3" borderId="18" xfId="0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 applyProtection="1">
      <alignment vertical="center" wrapText="1"/>
      <protection locked="0"/>
    </xf>
    <xf numFmtId="0" fontId="42" fillId="3" borderId="14" xfId="0" applyFont="1" applyFill="1" applyBorder="1" applyAlignment="1" applyProtection="1">
      <alignment horizontal="center" vertical="center"/>
      <protection locked="0"/>
    </xf>
    <xf numFmtId="0" fontId="4" fillId="3" borderId="42" xfId="0" applyFont="1" applyFill="1" applyBorder="1" applyAlignment="1" applyProtection="1">
      <alignment vertical="center"/>
      <protection locked="0"/>
    </xf>
    <xf numFmtId="0" fontId="15" fillId="3" borderId="71" xfId="0" applyFont="1" applyFill="1" applyBorder="1" applyAlignment="1" applyProtection="1">
      <alignment vertical="center" wrapText="1"/>
      <protection locked="0"/>
    </xf>
    <xf numFmtId="0" fontId="15" fillId="3" borderId="8" xfId="0" applyFont="1" applyFill="1" applyBorder="1" applyAlignment="1" applyProtection="1">
      <alignment vertical="center" wrapText="1"/>
      <protection locked="0"/>
    </xf>
    <xf numFmtId="0" fontId="4" fillId="3" borderId="57" xfId="0" applyFont="1" applyFill="1" applyBorder="1" applyAlignment="1" applyProtection="1">
      <alignment horizontal="right" vertical="center"/>
      <protection locked="0"/>
    </xf>
    <xf numFmtId="0" fontId="15" fillId="3" borderId="10" xfId="0" applyFont="1" applyFill="1" applyBorder="1" applyAlignment="1" applyProtection="1">
      <alignment vertical="center"/>
      <protection locked="0"/>
    </xf>
    <xf numFmtId="0" fontId="15" fillId="3" borderId="5" xfId="0" applyFont="1" applyFill="1" applyBorder="1" applyAlignment="1" applyProtection="1">
      <alignment vertical="center"/>
      <protection locked="0"/>
    </xf>
    <xf numFmtId="0" fontId="42" fillId="3" borderId="15" xfId="0" applyFont="1" applyFill="1" applyBorder="1" applyAlignment="1" applyProtection="1">
      <alignment horizontal="center" vertical="center"/>
      <protection locked="0"/>
    </xf>
    <xf numFmtId="0" fontId="42" fillId="0" borderId="31" xfId="0" applyFont="1" applyBorder="1" applyAlignment="1" applyProtection="1">
      <alignment horizontal="center" vertical="center"/>
      <protection locked="0"/>
    </xf>
    <xf numFmtId="0" fontId="23" fillId="3" borderId="63" xfId="0" applyFont="1" applyFill="1" applyBorder="1" applyAlignment="1" applyProtection="1">
      <alignment vertical="center"/>
      <protection locked="0"/>
    </xf>
    <xf numFmtId="0" fontId="42" fillId="0" borderId="18" xfId="0" applyFont="1" applyBorder="1" applyAlignment="1" applyProtection="1">
      <alignment horizontal="center" vertical="center"/>
      <protection locked="0"/>
    </xf>
    <xf numFmtId="0" fontId="15" fillId="5" borderId="64" xfId="0" applyFont="1" applyFill="1" applyBorder="1" applyAlignment="1" applyProtection="1">
      <alignment vertical="center"/>
      <protection locked="0"/>
    </xf>
    <xf numFmtId="0" fontId="42" fillId="0" borderId="14" xfId="0" applyFont="1" applyBorder="1" applyAlignment="1" applyProtection="1">
      <alignment horizontal="center" vertical="center"/>
      <protection locked="0"/>
    </xf>
    <xf numFmtId="0" fontId="15" fillId="3" borderId="65" xfId="0" applyFont="1" applyFill="1" applyBorder="1" applyAlignment="1" applyProtection="1">
      <alignment vertical="center"/>
      <protection locked="0"/>
    </xf>
    <xf numFmtId="0" fontId="15" fillId="0" borderId="65" xfId="0" applyFont="1" applyBorder="1" applyAlignment="1" applyProtection="1">
      <alignment vertical="center"/>
      <protection locked="0"/>
    </xf>
    <xf numFmtId="0" fontId="42" fillId="0" borderId="34" xfId="0" applyFont="1" applyBorder="1" applyAlignment="1" applyProtection="1">
      <alignment horizontal="center" vertical="center"/>
      <protection locked="0"/>
    </xf>
    <xf numFmtId="0" fontId="16" fillId="0" borderId="66" xfId="0" applyFont="1" applyBorder="1" applyAlignment="1" applyProtection="1">
      <alignment vertical="center"/>
      <protection locked="0"/>
    </xf>
    <xf numFmtId="0" fontId="42" fillId="0" borderId="28" xfId="0" applyFont="1" applyBorder="1" applyAlignment="1" applyProtection="1">
      <alignment horizontal="center" vertical="center"/>
      <protection locked="0"/>
    </xf>
    <xf numFmtId="0" fontId="23" fillId="0" borderId="67" xfId="0" applyFont="1" applyBorder="1" applyAlignment="1" applyProtection="1">
      <alignment vertical="center"/>
      <protection locked="0"/>
    </xf>
    <xf numFmtId="0" fontId="15" fillId="3" borderId="64" xfId="0" applyFont="1" applyFill="1" applyBorder="1" applyAlignment="1" applyProtection="1">
      <alignment vertical="center"/>
      <protection locked="0"/>
    </xf>
    <xf numFmtId="0" fontId="15" fillId="5" borderId="65" xfId="0" applyFont="1" applyFill="1" applyBorder="1" applyAlignment="1" applyProtection="1">
      <alignment vertical="center"/>
      <protection locked="0"/>
    </xf>
    <xf numFmtId="0" fontId="42" fillId="0" borderId="20" xfId="0" applyFont="1" applyBorder="1" applyAlignment="1" applyProtection="1">
      <alignment horizontal="center" vertical="center"/>
      <protection locked="0"/>
    </xf>
    <xf numFmtId="0" fontId="15" fillId="0" borderId="62" xfId="0" applyFont="1" applyBorder="1" applyAlignment="1" applyProtection="1">
      <alignment vertical="center"/>
      <protection locked="0"/>
    </xf>
    <xf numFmtId="0" fontId="4" fillId="3" borderId="64" xfId="0" applyFont="1" applyFill="1" applyBorder="1" applyAlignment="1" applyProtection="1">
      <alignment horizontal="right" vertical="center" wrapText="1"/>
      <protection locked="0"/>
    </xf>
    <xf numFmtId="0" fontId="42" fillId="0" borderId="15" xfId="0" applyFont="1" applyBorder="1" applyAlignment="1" applyProtection="1">
      <alignment horizontal="center" vertical="center"/>
      <protection locked="0"/>
    </xf>
    <xf numFmtId="0" fontId="4" fillId="3" borderId="68" xfId="0" applyFont="1" applyFill="1" applyBorder="1" applyAlignment="1" applyProtection="1">
      <alignment horizontal="right" vertical="center"/>
      <protection locked="0"/>
    </xf>
    <xf numFmtId="0" fontId="42" fillId="3" borderId="82" xfId="0" applyFont="1" applyFill="1" applyBorder="1" applyAlignment="1" applyProtection="1">
      <alignment horizontal="center" vertical="center"/>
      <protection locked="0"/>
    </xf>
    <xf numFmtId="0" fontId="42" fillId="3" borderId="8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vertical="center"/>
      <protection locked="0"/>
    </xf>
    <xf numFmtId="0" fontId="42" fillId="3" borderId="84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0" fontId="42" fillId="3" borderId="85" xfId="0" applyFont="1" applyFill="1" applyBorder="1" applyAlignment="1" applyProtection="1">
      <alignment horizontal="center" vertical="center"/>
      <protection locked="0"/>
    </xf>
    <xf numFmtId="0" fontId="42" fillId="3" borderId="86" xfId="0" applyFont="1" applyFill="1" applyBorder="1" applyAlignment="1" applyProtection="1">
      <alignment horizontal="center" vertical="center"/>
      <protection locked="0"/>
    </xf>
    <xf numFmtId="0" fontId="42" fillId="3" borderId="87" xfId="0" applyFont="1" applyFill="1" applyBorder="1" applyAlignment="1" applyProtection="1">
      <alignment horizontal="center" vertical="center"/>
      <protection locked="0"/>
    </xf>
    <xf numFmtId="0" fontId="42" fillId="3" borderId="31" xfId="0" applyFont="1" applyFill="1" applyBorder="1" applyAlignment="1" applyProtection="1">
      <alignment horizontal="center" vertical="center"/>
      <protection locked="0"/>
    </xf>
    <xf numFmtId="0" fontId="4" fillId="3" borderId="74" xfId="0" applyFont="1" applyFill="1" applyBorder="1" applyAlignment="1" applyProtection="1">
      <alignment vertical="center"/>
      <protection locked="0"/>
    </xf>
    <xf numFmtId="0" fontId="10" fillId="0" borderId="64" xfId="0" applyFont="1" applyBorder="1" applyAlignment="1" applyProtection="1">
      <alignment vertical="center"/>
      <protection locked="0"/>
    </xf>
    <xf numFmtId="0" fontId="10" fillId="0" borderId="65" xfId="0" applyFont="1" applyBorder="1" applyAlignment="1" applyProtection="1">
      <alignment vertical="center"/>
      <protection locked="0"/>
    </xf>
    <xf numFmtId="0" fontId="10" fillId="0" borderId="62" xfId="0" applyFont="1" applyBorder="1" applyAlignment="1" applyProtection="1">
      <alignment vertical="center"/>
      <protection locked="0"/>
    </xf>
    <xf numFmtId="0" fontId="7" fillId="3" borderId="51" xfId="0" applyFont="1" applyFill="1" applyBorder="1" applyAlignment="1" applyProtection="1">
      <alignment vertical="center"/>
      <protection locked="0"/>
    </xf>
    <xf numFmtId="0" fontId="15" fillId="3" borderId="9" xfId="0" applyFont="1" applyFill="1" applyBorder="1" applyAlignment="1" applyProtection="1">
      <alignment vertical="center"/>
      <protection locked="0"/>
    </xf>
    <xf numFmtId="0" fontId="49" fillId="5" borderId="0" xfId="0" applyFont="1" applyFill="1" applyAlignment="1">
      <alignment vertical="center"/>
    </xf>
    <xf numFmtId="0" fontId="49" fillId="5" borderId="91" xfId="0" applyFont="1" applyFill="1" applyBorder="1" applyAlignment="1" applyProtection="1">
      <alignment vertical="center"/>
      <protection locked="0"/>
    </xf>
    <xf numFmtId="0" fontId="49" fillId="5" borderId="2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8" fillId="0" borderId="0" xfId="0" applyFont="1" applyProtection="1">
      <protection locked="0"/>
    </xf>
    <xf numFmtId="0" fontId="0" fillId="8" borderId="65" xfId="0" applyFill="1" applyBorder="1" applyAlignment="1" applyProtection="1">
      <alignment horizontal="center" vertical="center"/>
      <protection locked="0"/>
    </xf>
    <xf numFmtId="43" fontId="109" fillId="0" borderId="65" xfId="1" applyFont="1" applyBorder="1" applyAlignment="1" applyProtection="1">
      <alignment vertical="center"/>
      <protection locked="0"/>
    </xf>
    <xf numFmtId="43" fontId="20" fillId="7" borderId="72" xfId="1" applyFont="1" applyFill="1" applyBorder="1" applyProtection="1">
      <protection hidden="1"/>
    </xf>
    <xf numFmtId="43" fontId="49" fillId="5" borderId="0" xfId="1" applyFont="1" applyFill="1" applyProtection="1">
      <protection hidden="1"/>
    </xf>
    <xf numFmtId="43" fontId="0" fillId="0" borderId="0" xfId="1" applyFont="1" applyProtection="1">
      <protection locked="0"/>
    </xf>
    <xf numFmtId="43" fontId="4" fillId="3" borderId="21" xfId="1" applyFont="1" applyFill="1" applyBorder="1" applyAlignment="1" applyProtection="1">
      <alignment horizontal="center"/>
      <protection locked="0"/>
    </xf>
    <xf numFmtId="43" fontId="7" fillId="3" borderId="10" xfId="1" applyFont="1" applyFill="1" applyBorder="1" applyAlignment="1" applyProtection="1">
      <alignment horizontal="center"/>
      <protection locked="0"/>
    </xf>
    <xf numFmtId="43" fontId="7" fillId="3" borderId="5" xfId="1" applyFont="1" applyFill="1" applyBorder="1" applyProtection="1">
      <protection locked="0"/>
    </xf>
    <xf numFmtId="43" fontId="7" fillId="3" borderId="16" xfId="1" applyFont="1" applyFill="1" applyBorder="1" applyProtection="1">
      <protection locked="0"/>
    </xf>
    <xf numFmtId="43" fontId="49" fillId="5" borderId="0" xfId="1" applyFont="1" applyFill="1" applyProtection="1">
      <protection locked="0"/>
    </xf>
    <xf numFmtId="43" fontId="7" fillId="7" borderId="72" xfId="1" applyFont="1" applyFill="1" applyBorder="1" applyProtection="1">
      <protection locked="0"/>
    </xf>
    <xf numFmtId="43" fontId="4" fillId="3" borderId="21" xfId="1" applyFont="1" applyFill="1" applyBorder="1" applyAlignment="1" applyProtection="1">
      <alignment horizontal="center" wrapText="1"/>
      <protection locked="0"/>
    </xf>
    <xf numFmtId="43" fontId="15" fillId="0" borderId="64" xfId="1" applyFont="1" applyBorder="1" applyAlignment="1" applyProtection="1">
      <alignment horizontal="center" wrapText="1"/>
      <protection locked="0"/>
    </xf>
    <xf numFmtId="43" fontId="15" fillId="0" borderId="65" xfId="1" applyFont="1" applyBorder="1" applyAlignment="1" applyProtection="1">
      <alignment horizontal="center" wrapText="1"/>
      <protection locked="0"/>
    </xf>
    <xf numFmtId="43" fontId="15" fillId="0" borderId="21" xfId="1" applyFont="1" applyBorder="1" applyAlignment="1" applyProtection="1">
      <alignment horizontal="center" vertical="center"/>
      <protection locked="0"/>
    </xf>
    <xf numFmtId="43" fontId="10" fillId="3" borderId="26" xfId="1" applyFont="1" applyFill="1" applyBorder="1" applyAlignment="1" applyProtection="1">
      <alignment horizontal="center" wrapText="1"/>
      <protection locked="0"/>
    </xf>
    <xf numFmtId="43" fontId="15" fillId="3" borderId="5" xfId="1" applyFont="1" applyFill="1" applyBorder="1" applyAlignment="1" applyProtection="1">
      <alignment horizontal="center" wrapText="1"/>
      <protection locked="0"/>
    </xf>
    <xf numFmtId="43" fontId="15" fillId="0" borderId="53" xfId="1" applyFont="1" applyBorder="1" applyAlignment="1" applyProtection="1">
      <alignment horizontal="center" vertical="center"/>
      <protection locked="0"/>
    </xf>
    <xf numFmtId="43" fontId="17" fillId="0" borderId="5" xfId="1" applyFont="1" applyBorder="1" applyAlignment="1">
      <alignment horizontal="right"/>
    </xf>
    <xf numFmtId="43" fontId="35" fillId="3" borderId="26" xfId="1" applyFont="1" applyFill="1" applyBorder="1" applyAlignment="1">
      <alignment horizontal="center" vertical="center"/>
    </xf>
    <xf numFmtId="43" fontId="4" fillId="3" borderId="43" xfId="1" applyFont="1" applyFill="1" applyBorder="1" applyProtection="1">
      <protection locked="0"/>
    </xf>
    <xf numFmtId="43" fontId="4" fillId="3" borderId="21" xfId="1" applyFont="1" applyFill="1" applyBorder="1" applyAlignment="1" applyProtection="1">
      <alignment horizontal="center" vertical="center" wrapText="1"/>
      <protection locked="0"/>
    </xf>
    <xf numFmtId="43" fontId="20" fillId="7" borderId="72" xfId="1" applyFont="1" applyFill="1" applyBorder="1" applyProtection="1">
      <protection locked="0"/>
    </xf>
    <xf numFmtId="43" fontId="23" fillId="3" borderId="32" xfId="1" applyFont="1" applyFill="1" applyBorder="1" applyAlignment="1" applyProtection="1">
      <alignment horizontal="center"/>
      <protection locked="0"/>
    </xf>
    <xf numFmtId="43" fontId="7" fillId="7" borderId="72" xfId="1" applyFont="1" applyFill="1" applyBorder="1" applyAlignment="1" applyProtection="1">
      <alignment horizontal="right" vertical="center"/>
      <protection locked="0"/>
    </xf>
    <xf numFmtId="43" fontId="43" fillId="0" borderId="10" xfId="1" applyFont="1" applyBorder="1" applyAlignment="1">
      <alignment horizontal="right" vertical="center"/>
    </xf>
    <xf numFmtId="43" fontId="43" fillId="0" borderId="5" xfId="1" applyFont="1" applyBorder="1" applyAlignment="1">
      <alignment horizontal="right" vertical="center"/>
    </xf>
    <xf numFmtId="43" fontId="44" fillId="0" borderId="5" xfId="1" applyFont="1" applyBorder="1" applyAlignment="1">
      <alignment horizontal="right" vertical="center"/>
    </xf>
    <xf numFmtId="43" fontId="44" fillId="3" borderId="21" xfId="1" applyFont="1" applyFill="1" applyBorder="1" applyAlignment="1">
      <alignment horizontal="right" vertical="center"/>
    </xf>
    <xf numFmtId="43" fontId="45" fillId="0" borderId="9" xfId="1" applyFont="1" applyBorder="1" applyAlignment="1" applyProtection="1">
      <alignment horizontal="right" vertical="center"/>
      <protection locked="0"/>
    </xf>
    <xf numFmtId="43" fontId="44" fillId="3" borderId="37" xfId="1" applyFont="1" applyFill="1" applyBorder="1" applyAlignment="1">
      <alignment horizontal="right" vertical="center"/>
    </xf>
    <xf numFmtId="43" fontId="49" fillId="5" borderId="0" xfId="1" applyFont="1" applyFill="1"/>
    <xf numFmtId="43" fontId="49" fillId="5" borderId="2" xfId="1" applyFont="1" applyFill="1" applyBorder="1" applyProtection="1">
      <protection locked="0"/>
    </xf>
    <xf numFmtId="43" fontId="95" fillId="0" borderId="65" xfId="1" applyFont="1" applyBorder="1" applyAlignment="1" applyProtection="1">
      <alignment horizontal="center" vertical="center" wrapText="1"/>
      <protection locked="0"/>
    </xf>
    <xf numFmtId="43" fontId="102" fillId="7" borderId="72" xfId="1" applyFont="1" applyFill="1" applyBorder="1" applyAlignment="1" applyProtection="1">
      <alignment vertical="center"/>
      <protection hidden="1"/>
    </xf>
    <xf numFmtId="43" fontId="101" fillId="5" borderId="0" xfId="1" applyFont="1" applyFill="1" applyAlignment="1" applyProtection="1">
      <alignment vertical="center"/>
      <protection hidden="1"/>
    </xf>
    <xf numFmtId="43" fontId="103" fillId="0" borderId="0" xfId="1" applyFont="1" applyAlignment="1" applyProtection="1">
      <alignment vertical="center"/>
      <protection locked="0"/>
    </xf>
    <xf numFmtId="43" fontId="104" fillId="3" borderId="22" xfId="1" applyFont="1" applyFill="1" applyBorder="1" applyAlignment="1" applyProtection="1">
      <alignment horizontal="center" vertical="center"/>
      <protection locked="0"/>
    </xf>
    <xf numFmtId="43" fontId="105" fillId="3" borderId="7" xfId="1" applyFont="1" applyFill="1" applyBorder="1" applyAlignment="1">
      <alignment horizontal="right" vertical="center"/>
    </xf>
    <xf numFmtId="43" fontId="105" fillId="8" borderId="7" xfId="1" applyFont="1" applyFill="1" applyBorder="1" applyAlignment="1">
      <alignment horizontal="right" vertical="center"/>
    </xf>
    <xf numFmtId="43" fontId="106" fillId="3" borderId="19" xfId="1" applyFont="1" applyFill="1" applyBorder="1" applyAlignment="1">
      <alignment horizontal="right" vertical="center"/>
    </xf>
    <xf numFmtId="43" fontId="106" fillId="3" borderId="7" xfId="1" applyFont="1" applyFill="1" applyBorder="1" applyAlignment="1">
      <alignment horizontal="right" vertical="center"/>
    </xf>
    <xf numFmtId="43" fontId="106" fillId="3" borderId="17" xfId="1" applyFont="1" applyFill="1" applyBorder="1" applyAlignment="1">
      <alignment horizontal="right" vertical="center"/>
    </xf>
    <xf numFmtId="43" fontId="101" fillId="5" borderId="0" xfId="1" applyFont="1" applyFill="1" applyAlignment="1" applyProtection="1">
      <alignment vertical="center"/>
      <protection locked="0"/>
    </xf>
    <xf numFmtId="43" fontId="107" fillId="7" borderId="72" xfId="1" applyFont="1" applyFill="1" applyBorder="1" applyAlignment="1" applyProtection="1">
      <alignment vertical="center"/>
      <protection locked="0"/>
    </xf>
    <xf numFmtId="43" fontId="104" fillId="3" borderId="21" xfId="1" applyFont="1" applyFill="1" applyBorder="1" applyAlignment="1" applyProtection="1">
      <alignment horizontal="center" vertical="center" wrapText="1"/>
      <protection locked="0"/>
    </xf>
    <xf numFmtId="43" fontId="108" fillId="0" borderId="10" xfId="1" applyFont="1" applyBorder="1" applyAlignment="1">
      <alignment horizontal="center" vertical="center" wrapText="1"/>
    </xf>
    <xf numFmtId="43" fontId="108" fillId="0" borderId="5" xfId="1" applyFont="1" applyBorder="1" applyAlignment="1">
      <alignment horizontal="center" vertical="center" wrapText="1"/>
    </xf>
    <xf numFmtId="43" fontId="108" fillId="0" borderId="21" xfId="1" applyFont="1" applyBorder="1" applyAlignment="1">
      <alignment horizontal="center" vertical="center" wrapText="1"/>
    </xf>
    <xf numFmtId="43" fontId="109" fillId="3" borderId="26" xfId="1" applyFont="1" applyFill="1" applyBorder="1" applyAlignment="1">
      <alignment horizontal="center" vertical="center" wrapText="1"/>
    </xf>
    <xf numFmtId="43" fontId="104" fillId="3" borderId="0" xfId="1" applyFont="1" applyFill="1" applyAlignment="1" applyProtection="1">
      <alignment horizontal="center" vertical="center"/>
      <protection locked="0"/>
    </xf>
    <xf numFmtId="43" fontId="104" fillId="3" borderId="21" xfId="1" applyFont="1" applyFill="1" applyBorder="1" applyAlignment="1" applyProtection="1">
      <alignment horizontal="center" vertical="center"/>
      <protection locked="0"/>
    </xf>
    <xf numFmtId="43" fontId="108" fillId="0" borderId="53" xfId="1" applyFont="1" applyBorder="1" applyAlignment="1" applyProtection="1">
      <alignment horizontal="center" vertical="center"/>
      <protection locked="0"/>
    </xf>
    <xf numFmtId="43" fontId="108" fillId="0" borderId="21" xfId="1" applyFont="1" applyBorder="1" applyAlignment="1" applyProtection="1">
      <alignment horizontal="center" vertical="center"/>
      <protection locked="0"/>
    </xf>
    <xf numFmtId="43" fontId="104" fillId="3" borderId="26" xfId="1" applyFont="1" applyFill="1" applyBorder="1" applyAlignment="1" applyProtection="1">
      <alignment horizontal="center" vertical="center"/>
      <protection locked="0"/>
    </xf>
    <xf numFmtId="43" fontId="108" fillId="0" borderId="5" xfId="1" applyFont="1" applyBorder="1" applyAlignment="1">
      <alignment horizontal="right" vertical="center"/>
    </xf>
    <xf numFmtId="43" fontId="106" fillId="3" borderId="26" xfId="1" applyFont="1" applyFill="1" applyBorder="1" applyAlignment="1">
      <alignment horizontal="center" vertical="center"/>
    </xf>
    <xf numFmtId="43" fontId="104" fillId="3" borderId="44" xfId="1" applyFont="1" applyFill="1" applyBorder="1" applyAlignment="1" applyProtection="1">
      <alignment vertical="center"/>
      <protection locked="0"/>
    </xf>
    <xf numFmtId="43" fontId="104" fillId="3" borderId="22" xfId="1" applyFont="1" applyFill="1" applyBorder="1" applyAlignment="1" applyProtection="1">
      <alignment horizontal="center" vertical="center" wrapText="1"/>
      <protection locked="0"/>
    </xf>
    <xf numFmtId="43" fontId="108" fillId="0" borderId="19" xfId="1" applyFont="1" applyBorder="1" applyAlignment="1">
      <alignment horizontal="right" vertical="center"/>
    </xf>
    <xf numFmtId="43" fontId="108" fillId="0" borderId="7" xfId="1" applyFont="1" applyBorder="1" applyAlignment="1">
      <alignment horizontal="right" vertical="center"/>
    </xf>
    <xf numFmtId="43" fontId="108" fillId="0" borderId="22" xfId="1" applyFont="1" applyBorder="1" applyAlignment="1">
      <alignment horizontal="right" vertical="center"/>
    </xf>
    <xf numFmtId="43" fontId="106" fillId="3" borderId="27" xfId="1" applyFont="1" applyFill="1" applyBorder="1" applyAlignment="1">
      <alignment horizontal="right" vertical="center"/>
    </xf>
    <xf numFmtId="43" fontId="102" fillId="7" borderId="72" xfId="1" applyFont="1" applyFill="1" applyBorder="1" applyAlignment="1" applyProtection="1">
      <alignment vertical="center"/>
      <protection locked="0"/>
    </xf>
    <xf numFmtId="43" fontId="107" fillId="7" borderId="72" xfId="1" applyFont="1" applyFill="1" applyBorder="1" applyAlignment="1" applyProtection="1">
      <alignment horizontal="right" vertical="center"/>
      <protection locked="0"/>
    </xf>
    <xf numFmtId="43" fontId="111" fillId="0" borderId="10" xfId="1" applyFont="1" applyBorder="1" applyAlignment="1">
      <alignment horizontal="right" vertical="center"/>
    </xf>
    <xf numFmtId="43" fontId="111" fillId="0" borderId="5" xfId="1" applyFont="1" applyBorder="1" applyAlignment="1">
      <alignment horizontal="right" vertical="center"/>
    </xf>
    <xf numFmtId="43" fontId="112" fillId="0" borderId="5" xfId="1" applyFont="1" applyBorder="1" applyAlignment="1">
      <alignment horizontal="right" vertical="center"/>
    </xf>
    <xf numFmtId="43" fontId="112" fillId="3" borderId="21" xfId="1" applyFont="1" applyFill="1" applyBorder="1" applyAlignment="1">
      <alignment horizontal="right" vertical="center"/>
    </xf>
    <xf numFmtId="43" fontId="111" fillId="0" borderId="9" xfId="1" applyFont="1" applyBorder="1" applyAlignment="1" applyProtection="1">
      <alignment horizontal="right" vertical="center"/>
      <protection locked="0"/>
    </xf>
    <xf numFmtId="43" fontId="112" fillId="3" borderId="37" xfId="1" applyFont="1" applyFill="1" applyBorder="1" applyAlignment="1">
      <alignment horizontal="right" vertical="center"/>
    </xf>
    <xf numFmtId="43" fontId="101" fillId="5" borderId="0" xfId="1" applyFont="1" applyFill="1" applyAlignment="1">
      <alignment vertical="center"/>
    </xf>
    <xf numFmtId="43" fontId="101" fillId="5" borderId="2" xfId="1" applyFont="1" applyFill="1" applyBorder="1" applyAlignment="1" applyProtection="1">
      <alignment vertical="center"/>
      <protection locked="0"/>
    </xf>
    <xf numFmtId="43" fontId="113" fillId="0" borderId="65" xfId="1" applyFont="1" applyBorder="1" applyAlignment="1" applyProtection="1">
      <alignment horizontal="center" vertical="center" wrapText="1"/>
      <protection locked="0"/>
    </xf>
    <xf numFmtId="173" fontId="60" fillId="0" borderId="10" xfId="0" applyNumberFormat="1" applyFont="1" applyBorder="1" applyAlignment="1" applyProtection="1">
      <alignment horizontal="center" vertical="center"/>
      <protection locked="0"/>
    </xf>
    <xf numFmtId="164" fontId="115" fillId="0" borderId="10" xfId="0" applyNumberFormat="1" applyFont="1" applyBorder="1" applyAlignment="1">
      <alignment vertical="center"/>
    </xf>
    <xf numFmtId="4" fontId="115" fillId="0" borderId="10" xfId="0" applyNumberFormat="1" applyFont="1" applyBorder="1" applyAlignment="1">
      <alignment horizontal="right"/>
    </xf>
    <xf numFmtId="4" fontId="115" fillId="0" borderId="19" xfId="0" applyNumberFormat="1" applyFont="1" applyBorder="1" applyAlignment="1">
      <alignment horizontal="right"/>
    </xf>
    <xf numFmtId="164" fontId="116" fillId="0" borderId="40" xfId="0" applyNumberFormat="1" applyFont="1" applyBorder="1" applyAlignment="1">
      <alignment horizontal="right"/>
    </xf>
    <xf numFmtId="164" fontId="116" fillId="0" borderId="41" xfId="0" applyNumberFormat="1" applyFont="1" applyBorder="1" applyAlignment="1">
      <alignment horizontal="right"/>
    </xf>
    <xf numFmtId="164" fontId="116" fillId="0" borderId="5" xfId="0" applyNumberFormat="1" applyFont="1" applyBorder="1" applyAlignment="1">
      <alignment horizontal="right"/>
    </xf>
    <xf numFmtId="164" fontId="116" fillId="0" borderId="7" xfId="0" applyNumberFormat="1" applyFont="1" applyBorder="1" applyAlignment="1">
      <alignment horizontal="right"/>
    </xf>
    <xf numFmtId="164" fontId="116" fillId="0" borderId="16" xfId="0" applyNumberFormat="1" applyFont="1" applyBorder="1" applyAlignment="1">
      <alignment horizontal="right"/>
    </xf>
    <xf numFmtId="164" fontId="116" fillId="0" borderId="17" xfId="0" applyNumberFormat="1" applyFont="1" applyBorder="1" applyAlignment="1">
      <alignment horizontal="right"/>
    </xf>
    <xf numFmtId="164" fontId="117" fillId="0" borderId="5" xfId="0" applyNumberFormat="1" applyFont="1" applyBorder="1" applyAlignment="1">
      <alignment horizontal="center" vertical="center"/>
    </xf>
    <xf numFmtId="43" fontId="117" fillId="0" borderId="5" xfId="0" applyNumberFormat="1" applyFont="1" applyBorder="1" applyAlignment="1">
      <alignment horizontal="center" vertical="center"/>
    </xf>
    <xf numFmtId="164" fontId="13" fillId="0" borderId="7" xfId="0" applyNumberFormat="1" applyFont="1" applyBorder="1" applyAlignment="1" applyProtection="1">
      <alignment horizontal="center"/>
      <protection locked="0"/>
    </xf>
    <xf numFmtId="43" fontId="118" fillId="3" borderId="21" xfId="1" applyFont="1" applyFill="1" applyBorder="1" applyAlignment="1" applyProtection="1">
      <alignment horizontal="center" vertical="center"/>
      <protection locked="0"/>
    </xf>
    <xf numFmtId="0" fontId="77" fillId="5" borderId="0" xfId="0" applyFont="1" applyFill="1" applyProtection="1">
      <protection locked="0"/>
    </xf>
    <xf numFmtId="0" fontId="80" fillId="5" borderId="0" xfId="0" applyFont="1" applyFill="1" applyProtection="1">
      <protection locked="0"/>
    </xf>
    <xf numFmtId="1" fontId="58" fillId="5" borderId="0" xfId="0" applyNumberFormat="1" applyFont="1" applyFill="1" applyProtection="1">
      <protection locked="0"/>
    </xf>
    <xf numFmtId="43" fontId="119" fillId="3" borderId="32" xfId="1" applyFont="1" applyFill="1" applyBorder="1" applyAlignment="1" applyProtection="1">
      <alignment horizontal="center" vertical="center"/>
      <protection locked="0"/>
    </xf>
    <xf numFmtId="165" fontId="120" fillId="0" borderId="10" xfId="0" applyNumberFormat="1" applyFont="1" applyBorder="1" applyAlignment="1" applyProtection="1">
      <alignment horizontal="center"/>
      <protection locked="0"/>
    </xf>
    <xf numFmtId="165" fontId="120" fillId="0" borderId="10" xfId="0" applyNumberFormat="1" applyFont="1" applyBorder="1" applyAlignment="1" applyProtection="1">
      <alignment horizontal="right"/>
      <protection locked="0"/>
    </xf>
    <xf numFmtId="165" fontId="120" fillId="0" borderId="19" xfId="0" applyNumberFormat="1" applyFont="1" applyBorder="1" applyAlignment="1" applyProtection="1">
      <alignment horizontal="right"/>
      <protection locked="0"/>
    </xf>
    <xf numFmtId="165" fontId="120" fillId="0" borderId="5" xfId="0" applyNumberFormat="1" applyFont="1" applyBorder="1" applyAlignment="1">
      <alignment horizontal="center"/>
    </xf>
    <xf numFmtId="165" fontId="120" fillId="0" borderId="5" xfId="0" applyNumberFormat="1" applyFont="1" applyBorder="1" applyAlignment="1" applyProtection="1">
      <alignment horizontal="right"/>
      <protection locked="0"/>
    </xf>
    <xf numFmtId="165" fontId="120" fillId="0" borderId="7" xfId="0" applyNumberFormat="1" applyFont="1" applyBorder="1" applyAlignment="1" applyProtection="1">
      <alignment horizontal="right"/>
      <protection locked="0"/>
    </xf>
    <xf numFmtId="43" fontId="120" fillId="0" borderId="5" xfId="1" applyFont="1" applyBorder="1" applyAlignment="1">
      <alignment horizontal="right"/>
    </xf>
    <xf numFmtId="43" fontId="120" fillId="0" borderId="5" xfId="1" applyFont="1" applyBorder="1" applyAlignment="1">
      <alignment horizontal="right" vertical="center"/>
    </xf>
    <xf numFmtId="165" fontId="120" fillId="0" borderId="5" xfId="0" applyNumberFormat="1" applyFont="1" applyBorder="1" applyAlignment="1">
      <alignment horizontal="right"/>
    </xf>
    <xf numFmtId="165" fontId="120" fillId="0" borderId="7" xfId="0" applyNumberFormat="1" applyFont="1" applyBorder="1" applyAlignment="1">
      <alignment horizontal="right"/>
    </xf>
    <xf numFmtId="165" fontId="120" fillId="0" borderId="5" xfId="0" applyNumberFormat="1" applyFont="1" applyBorder="1" applyAlignment="1" applyProtection="1">
      <alignment horizontal="center"/>
      <protection locked="0"/>
    </xf>
    <xf numFmtId="165" fontId="120" fillId="2" borderId="5" xfId="0" applyNumberFormat="1" applyFont="1" applyFill="1" applyBorder="1" applyAlignment="1" applyProtection="1">
      <alignment horizontal="center"/>
      <protection locked="0"/>
    </xf>
    <xf numFmtId="165" fontId="120" fillId="2" borderId="5" xfId="0" applyNumberFormat="1" applyFont="1" applyFill="1" applyBorder="1" applyAlignment="1" applyProtection="1">
      <alignment horizontal="right"/>
      <protection locked="0"/>
    </xf>
    <xf numFmtId="165" fontId="120" fillId="2" borderId="7" xfId="0" applyNumberFormat="1" applyFont="1" applyFill="1" applyBorder="1" applyAlignment="1" applyProtection="1">
      <alignment horizontal="right"/>
      <protection locked="0"/>
    </xf>
    <xf numFmtId="165" fontId="121" fillId="0" borderId="9" xfId="0" applyNumberFormat="1" applyFont="1" applyBorder="1" applyAlignment="1">
      <alignment horizontal="center"/>
    </xf>
    <xf numFmtId="43" fontId="121" fillId="0" borderId="9" xfId="1" applyFont="1" applyBorder="1" applyAlignment="1">
      <alignment horizontal="right"/>
    </xf>
    <xf numFmtId="43" fontId="121" fillId="0" borderId="9" xfId="1" applyFont="1" applyBorder="1" applyAlignment="1">
      <alignment horizontal="right" vertical="center"/>
    </xf>
    <xf numFmtId="165" fontId="121" fillId="0" borderId="9" xfId="0" applyNumberFormat="1" applyFont="1" applyBorder="1" applyAlignment="1">
      <alignment horizontal="right"/>
    </xf>
    <xf numFmtId="165" fontId="121" fillId="0" borderId="35" xfId="0" applyNumberFormat="1" applyFont="1" applyBorder="1" applyAlignment="1">
      <alignment horizontal="right"/>
    </xf>
    <xf numFmtId="0" fontId="119" fillId="3" borderId="29" xfId="0" applyFont="1" applyFill="1" applyBorder="1" applyAlignment="1" applyProtection="1">
      <alignment horizontal="center"/>
      <protection locked="0"/>
    </xf>
    <xf numFmtId="43" fontId="119" fillId="3" borderId="29" xfId="1" applyFont="1" applyFill="1" applyBorder="1" applyAlignment="1" applyProtection="1">
      <alignment horizontal="center"/>
      <protection locked="0"/>
    </xf>
    <xf numFmtId="43" fontId="119" fillId="3" borderId="29" xfId="1" applyFont="1" applyFill="1" applyBorder="1" applyAlignment="1" applyProtection="1">
      <alignment horizontal="center" vertical="center"/>
      <protection locked="0"/>
    </xf>
    <xf numFmtId="0" fontId="119" fillId="3" borderId="30" xfId="0" applyFont="1" applyFill="1" applyBorder="1" applyAlignment="1" applyProtection="1">
      <alignment horizontal="center"/>
      <protection locked="0"/>
    </xf>
    <xf numFmtId="165" fontId="120" fillId="0" borderId="10" xfId="0" applyNumberFormat="1" applyFont="1" applyBorder="1" applyAlignment="1">
      <alignment horizontal="center"/>
    </xf>
    <xf numFmtId="165" fontId="120" fillId="0" borderId="21" xfId="0" applyNumberFormat="1" applyFont="1" applyBorder="1" applyAlignment="1">
      <alignment horizontal="center"/>
    </xf>
    <xf numFmtId="43" fontId="120" fillId="0" borderId="21" xfId="1" applyFont="1" applyBorder="1" applyAlignment="1">
      <alignment horizontal="right"/>
    </xf>
    <xf numFmtId="43" fontId="120" fillId="0" borderId="21" xfId="1" applyFont="1" applyBorder="1" applyAlignment="1">
      <alignment horizontal="right" vertical="center"/>
    </xf>
    <xf numFmtId="165" fontId="120" fillId="0" borderId="21" xfId="0" applyNumberFormat="1" applyFont="1" applyBorder="1" applyAlignment="1">
      <alignment horizontal="right"/>
    </xf>
    <xf numFmtId="165" fontId="120" fillId="0" borderId="22" xfId="0" applyNumberFormat="1" applyFont="1" applyBorder="1" applyAlignment="1">
      <alignment horizontal="right"/>
    </xf>
    <xf numFmtId="164" fontId="122" fillId="3" borderId="10" xfId="0" applyNumberFormat="1" applyFont="1" applyFill="1" applyBorder="1" applyAlignment="1">
      <alignment horizontal="center"/>
    </xf>
    <xf numFmtId="43" fontId="122" fillId="3" borderId="10" xfId="1" applyFont="1" applyFill="1" applyBorder="1" applyAlignment="1">
      <alignment horizontal="right"/>
    </xf>
    <xf numFmtId="43" fontId="122" fillId="3" borderId="10" xfId="1" applyFont="1" applyFill="1" applyBorder="1" applyAlignment="1">
      <alignment horizontal="right" vertical="center"/>
    </xf>
    <xf numFmtId="164" fontId="122" fillId="3" borderId="10" xfId="0" applyNumberFormat="1" applyFont="1" applyFill="1" applyBorder="1" applyAlignment="1">
      <alignment horizontal="right"/>
    </xf>
    <xf numFmtId="164" fontId="122" fillId="3" borderId="19" xfId="0" applyNumberFormat="1" applyFont="1" applyFill="1" applyBorder="1" applyAlignment="1">
      <alignment horizontal="right"/>
    </xf>
    <xf numFmtId="164" fontId="122" fillId="3" borderId="16" xfId="0" applyNumberFormat="1" applyFont="1" applyFill="1" applyBorder="1" applyAlignment="1">
      <alignment horizontal="center"/>
    </xf>
    <xf numFmtId="43" fontId="122" fillId="3" borderId="16" xfId="1" applyFont="1" applyFill="1" applyBorder="1" applyAlignment="1">
      <alignment horizontal="right"/>
    </xf>
    <xf numFmtId="43" fontId="122" fillId="3" borderId="16" xfId="1" applyFont="1" applyFill="1" applyBorder="1" applyAlignment="1">
      <alignment horizontal="right" vertical="center"/>
    </xf>
    <xf numFmtId="164" fontId="122" fillId="3" borderId="16" xfId="0" applyNumberFormat="1" applyFont="1" applyFill="1" applyBorder="1" applyAlignment="1">
      <alignment horizontal="right"/>
    </xf>
    <xf numFmtId="164" fontId="122" fillId="3" borderId="17" xfId="0" applyNumberFormat="1" applyFont="1" applyFill="1" applyBorder="1" applyAlignment="1">
      <alignment horizontal="right"/>
    </xf>
    <xf numFmtId="43" fontId="28" fillId="0" borderId="49" xfId="1" applyFont="1" applyBorder="1" applyAlignment="1" applyProtection="1">
      <alignment horizontal="right"/>
      <protection locked="0"/>
    </xf>
    <xf numFmtId="167" fontId="123" fillId="3" borderId="17" xfId="0" applyNumberFormat="1" applyFont="1" applyFill="1" applyBorder="1" applyAlignment="1">
      <alignment horizontal="center" vertical="center"/>
    </xf>
    <xf numFmtId="0" fontId="0" fillId="5" borderId="0" xfId="0" applyFill="1" applyProtection="1">
      <protection locked="0"/>
    </xf>
    <xf numFmtId="0" fontId="98" fillId="5" borderId="0" xfId="0" applyFont="1" applyFill="1" applyProtection="1">
      <protection locked="0"/>
    </xf>
    <xf numFmtId="0" fontId="21" fillId="5" borderId="0" xfId="0" applyFont="1" applyFill="1" applyAlignment="1" applyProtection="1">
      <alignment horizontal="center" vertical="center" wrapText="1"/>
      <protection locked="0"/>
    </xf>
    <xf numFmtId="167" fontId="123" fillId="5" borderId="0" xfId="0" applyNumberFormat="1" applyFont="1" applyFill="1" applyAlignment="1">
      <alignment horizontal="center" vertical="center"/>
    </xf>
    <xf numFmtId="0" fontId="55" fillId="5" borderId="0" xfId="0" applyFont="1" applyFill="1" applyAlignment="1" applyProtection="1">
      <alignment horizontal="center" vertical="center" wrapText="1"/>
      <protection locked="0"/>
    </xf>
    <xf numFmtId="43" fontId="123" fillId="3" borderId="27" xfId="1" applyFont="1" applyFill="1" applyBorder="1" applyAlignment="1" applyProtection="1">
      <alignment horizontal="center" vertical="center"/>
    </xf>
    <xf numFmtId="0" fontId="20" fillId="5" borderId="72" xfId="0" applyFont="1" applyFill="1" applyBorder="1" applyProtection="1">
      <protection locked="0"/>
    </xf>
    <xf numFmtId="0" fontId="20" fillId="5" borderId="0" xfId="0" applyFont="1" applyFill="1" applyProtection="1">
      <protection locked="0"/>
    </xf>
    <xf numFmtId="0" fontId="99" fillId="5" borderId="0" xfId="0" applyFont="1" applyFill="1" applyProtection="1">
      <protection locked="0"/>
    </xf>
    <xf numFmtId="0" fontId="56" fillId="5" borderId="0" xfId="0" applyFont="1" applyFill="1" applyProtection="1">
      <protection locked="0"/>
    </xf>
    <xf numFmtId="0" fontId="22" fillId="5" borderId="0" xfId="0" applyFont="1" applyFill="1" applyProtection="1">
      <protection locked="0"/>
    </xf>
    <xf numFmtId="0" fontId="100" fillId="5" borderId="0" xfId="0" applyFont="1" applyFill="1" applyProtection="1">
      <protection locked="0"/>
    </xf>
    <xf numFmtId="0" fontId="72" fillId="5" borderId="0" xfId="0" applyFont="1" applyFill="1" applyAlignment="1" applyProtection="1">
      <alignment horizontal="center"/>
      <protection hidden="1"/>
    </xf>
    <xf numFmtId="0" fontId="72" fillId="5" borderId="0" xfId="0" applyFont="1" applyFill="1" applyAlignment="1" applyProtection="1">
      <alignment horizontal="center"/>
      <protection locked="0"/>
    </xf>
    <xf numFmtId="0" fontId="58" fillId="5" borderId="0" xfId="0" applyFont="1" applyFill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0" fillId="8" borderId="65" xfId="0" applyFill="1" applyBorder="1" applyAlignment="1" applyProtection="1">
      <alignment horizontal="left" vertical="center"/>
      <protection locked="0"/>
    </xf>
    <xf numFmtId="43" fontId="2" fillId="3" borderId="8" xfId="1" applyFont="1" applyFill="1" applyBorder="1" applyAlignment="1" applyProtection="1">
      <alignment vertical="center"/>
      <protection locked="0"/>
    </xf>
    <xf numFmtId="43" fontId="0" fillId="8" borderId="65" xfId="1" applyFont="1" applyFill="1" applyBorder="1" applyAlignment="1" applyProtection="1">
      <alignment horizontal="left" vertical="center"/>
      <protection locked="0"/>
    </xf>
    <xf numFmtId="0" fontId="0" fillId="7" borderId="116" xfId="0" applyFill="1" applyBorder="1" applyAlignment="1" applyProtection="1">
      <alignment horizontal="center" vertical="center"/>
      <protection locked="0"/>
    </xf>
    <xf numFmtId="0" fontId="2" fillId="3" borderId="79" xfId="0" applyFont="1" applyFill="1" applyBorder="1" applyAlignment="1" applyProtection="1">
      <alignment vertical="center"/>
      <protection locked="0"/>
    </xf>
    <xf numFmtId="0" fontId="0" fillId="8" borderId="64" xfId="0" applyFill="1" applyBorder="1" applyAlignment="1" applyProtection="1">
      <alignment horizontal="center" vertical="center"/>
      <protection locked="0"/>
    </xf>
    <xf numFmtId="0" fontId="2" fillId="3" borderId="79" xfId="0" applyFont="1" applyFill="1" applyBorder="1" applyAlignment="1" applyProtection="1">
      <alignment horizontal="center" vertical="center"/>
      <protection locked="0"/>
    </xf>
    <xf numFmtId="0" fontId="2" fillId="3" borderId="106" xfId="0" applyFont="1" applyFill="1" applyBorder="1" applyAlignment="1" applyProtection="1">
      <alignment horizontal="center" vertical="center"/>
      <protection locked="0"/>
    </xf>
    <xf numFmtId="43" fontId="105" fillId="8" borderId="35" xfId="1" applyFont="1" applyFill="1" applyBorder="1" applyAlignment="1">
      <alignment horizontal="right" vertical="center"/>
    </xf>
    <xf numFmtId="166" fontId="125" fillId="5" borderId="0" xfId="0" applyNumberFormat="1" applyFont="1" applyFill="1" applyAlignment="1" applyProtection="1">
      <alignment horizontal="center" vertical="center" wrapText="1"/>
      <protection locked="0"/>
    </xf>
    <xf numFmtId="2" fontId="123" fillId="3" borderId="17" xfId="0" applyNumberFormat="1" applyFont="1" applyFill="1" applyBorder="1" applyAlignment="1">
      <alignment horizontal="center" vertical="center"/>
    </xf>
    <xf numFmtId="165" fontId="18" fillId="0" borderId="19" xfId="0" applyNumberFormat="1" applyFont="1" applyBorder="1" applyAlignment="1">
      <alignment horizontal="right"/>
    </xf>
    <xf numFmtId="165" fontId="18" fillId="0" borderId="49" xfId="0" applyNumberFormat="1" applyFont="1" applyBorder="1" applyAlignment="1">
      <alignment horizontal="right"/>
    </xf>
    <xf numFmtId="165" fontId="17" fillId="0" borderId="6" xfId="0" applyNumberFormat="1" applyFont="1" applyBorder="1" applyAlignment="1">
      <alignment horizontal="right"/>
    </xf>
    <xf numFmtId="43" fontId="123" fillId="3" borderId="25" xfId="1" applyFont="1" applyFill="1" applyBorder="1" applyAlignment="1" applyProtection="1">
      <alignment horizontal="center" vertical="center"/>
    </xf>
    <xf numFmtId="0" fontId="4" fillId="3" borderId="33" xfId="0" applyFont="1" applyFill="1" applyBorder="1" applyAlignment="1" applyProtection="1">
      <alignment horizontal="center"/>
      <protection locked="0"/>
    </xf>
    <xf numFmtId="0" fontId="4" fillId="3" borderId="32" xfId="0" applyFont="1" applyFill="1" applyBorder="1" applyAlignment="1" applyProtection="1">
      <alignment horizontal="center"/>
      <protection locked="0"/>
    </xf>
    <xf numFmtId="166" fontId="126" fillId="5" borderId="0" xfId="0" applyNumberFormat="1" applyFont="1" applyFill="1" applyAlignment="1" applyProtection="1">
      <alignment horizontal="center" vertical="center" wrapText="1"/>
      <protection locked="0"/>
    </xf>
    <xf numFmtId="43" fontId="127" fillId="5" borderId="0" xfId="1" applyFont="1" applyFill="1" applyProtection="1">
      <protection locked="0"/>
    </xf>
    <xf numFmtId="43" fontId="127" fillId="5" borderId="0" xfId="1" applyFont="1" applyFill="1" applyAlignment="1" applyProtection="1">
      <alignment vertical="center"/>
      <protection locked="0"/>
    </xf>
    <xf numFmtId="0" fontId="127" fillId="5" borderId="0" xfId="0" applyFont="1" applyFill="1" applyProtection="1">
      <protection locked="0"/>
    </xf>
    <xf numFmtId="0" fontId="127" fillId="5" borderId="61" xfId="0" applyFont="1" applyFill="1" applyBorder="1" applyProtection="1">
      <protection locked="0"/>
    </xf>
    <xf numFmtId="43" fontId="128" fillId="5" borderId="0" xfId="1" applyFont="1" applyFill="1" applyProtection="1">
      <protection locked="0"/>
    </xf>
    <xf numFmtId="43" fontId="128" fillId="5" borderId="0" xfId="1" applyFont="1" applyFill="1" applyAlignment="1" applyProtection="1">
      <alignment vertical="center"/>
      <protection locked="0"/>
    </xf>
    <xf numFmtId="0" fontId="128" fillId="5" borderId="0" xfId="0" applyFont="1" applyFill="1" applyProtection="1"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0" fillId="5" borderId="0" xfId="0" applyFill="1" applyAlignment="1" applyProtection="1">
      <alignment horizontal="center"/>
      <protection locked="0"/>
    </xf>
    <xf numFmtId="43" fontId="0" fillId="5" borderId="0" xfId="1" applyFont="1" applyFill="1" applyProtection="1">
      <protection locked="0"/>
    </xf>
    <xf numFmtId="43" fontId="103" fillId="5" borderId="0" xfId="1" applyFont="1" applyFill="1" applyAlignment="1" applyProtection="1">
      <alignment vertical="center"/>
      <protection locked="0"/>
    </xf>
    <xf numFmtId="169" fontId="10" fillId="0" borderId="65" xfId="1" applyNumberFormat="1" applyFont="1" applyBorder="1" applyAlignment="1" applyProtection="1">
      <alignment horizontal="center"/>
      <protection locked="0"/>
    </xf>
    <xf numFmtId="2" fontId="49" fillId="5" borderId="0" xfId="0" applyNumberFormat="1" applyFont="1" applyFill="1" applyAlignment="1" applyProtection="1">
      <alignment horizontal="center"/>
      <protection locked="0"/>
    </xf>
    <xf numFmtId="0" fontId="125" fillId="5" borderId="0" xfId="0" applyFont="1" applyFill="1" applyAlignment="1" applyProtection="1">
      <alignment vertical="center" wrapText="1"/>
      <protection locked="0"/>
    </xf>
    <xf numFmtId="0" fontId="125" fillId="5" borderId="61" xfId="0" applyFont="1" applyFill="1" applyBorder="1" applyAlignment="1" applyProtection="1">
      <alignment vertical="center" wrapText="1"/>
      <protection locked="0"/>
    </xf>
    <xf numFmtId="0" fontId="9" fillId="3" borderId="52" xfId="0" applyFont="1" applyFill="1" applyBorder="1" applyAlignment="1" applyProtection="1">
      <alignment horizontal="center" wrapText="1"/>
      <protection locked="0"/>
    </xf>
    <xf numFmtId="0" fontId="9" fillId="3" borderId="88" xfId="0" applyFont="1" applyFill="1" applyBorder="1" applyAlignment="1" applyProtection="1">
      <alignment horizontal="center" wrapText="1"/>
      <protection locked="0"/>
    </xf>
    <xf numFmtId="0" fontId="37" fillId="0" borderId="89" xfId="40" applyBorder="1" applyAlignment="1">
      <alignment horizontal="center"/>
    </xf>
    <xf numFmtId="0" fontId="49" fillId="0" borderId="90" xfId="0" applyFont="1" applyBorder="1" applyAlignment="1">
      <alignment horizontal="center"/>
    </xf>
    <xf numFmtId="0" fontId="50" fillId="3" borderId="96" xfId="0" applyFont="1" applyFill="1" applyBorder="1" applyAlignment="1" applyProtection="1">
      <alignment horizontal="center" vertical="center"/>
      <protection locked="0"/>
    </xf>
    <xf numFmtId="0" fontId="50" fillId="3" borderId="74" xfId="0" applyFont="1" applyFill="1" applyBorder="1" applyAlignment="1" applyProtection="1">
      <alignment horizontal="center" vertical="center"/>
      <protection locked="0"/>
    </xf>
    <xf numFmtId="0" fontId="50" fillId="3" borderId="73" xfId="0" applyFont="1" applyFill="1" applyBorder="1" applyAlignment="1" applyProtection="1">
      <alignment horizontal="center" vertical="center"/>
      <protection locked="0"/>
    </xf>
    <xf numFmtId="0" fontId="50" fillId="3" borderId="52" xfId="0" applyFont="1" applyFill="1" applyBorder="1" applyAlignment="1" applyProtection="1">
      <alignment horizontal="left" vertical="center" wrapText="1"/>
      <protection locked="0"/>
    </xf>
    <xf numFmtId="0" fontId="50" fillId="3" borderId="88" xfId="0" applyFont="1" applyFill="1" applyBorder="1" applyAlignment="1" applyProtection="1">
      <alignment horizontal="left" vertical="center" wrapText="1"/>
      <protection locked="0"/>
    </xf>
    <xf numFmtId="0" fontId="9" fillId="3" borderId="95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60" xfId="0" applyFont="1" applyFill="1" applyBorder="1" applyAlignment="1" applyProtection="1">
      <alignment horizontal="center" vertical="center"/>
      <protection locked="0"/>
    </xf>
    <xf numFmtId="0" fontId="15" fillId="3" borderId="25" xfId="0" applyFont="1" applyFill="1" applyBorder="1" applyAlignment="1" applyProtection="1">
      <alignment horizontal="center"/>
      <protection locked="0"/>
    </xf>
    <xf numFmtId="0" fontId="15" fillId="3" borderId="2" xfId="0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horizontal="center"/>
      <protection locked="0"/>
    </xf>
    <xf numFmtId="0" fontId="4" fillId="3" borderId="42" xfId="0" applyFont="1" applyFill="1" applyBorder="1" applyAlignment="1" applyProtection="1">
      <alignment horizontal="center"/>
      <protection locked="0"/>
    </xf>
    <xf numFmtId="0" fontId="4" fillId="3" borderId="43" xfId="0" applyFont="1" applyFill="1" applyBorder="1" applyAlignment="1" applyProtection="1">
      <alignment horizontal="center"/>
      <protection locked="0"/>
    </xf>
    <xf numFmtId="0" fontId="4" fillId="3" borderId="44" xfId="0" applyFont="1" applyFill="1" applyBorder="1" applyAlignment="1" applyProtection="1">
      <alignment horizontal="center"/>
      <protection locked="0"/>
    </xf>
    <xf numFmtId="0" fontId="4" fillId="3" borderId="59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60" xfId="0" applyFont="1" applyFill="1" applyBorder="1" applyAlignment="1" applyProtection="1">
      <alignment horizontal="center"/>
      <protection locked="0"/>
    </xf>
    <xf numFmtId="0" fontId="15" fillId="0" borderId="45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61" xfId="0" applyFont="1" applyBorder="1" applyAlignment="1" applyProtection="1">
      <alignment horizontal="center"/>
      <protection locked="0"/>
    </xf>
    <xf numFmtId="0" fontId="3" fillId="3" borderId="71" xfId="0" applyFont="1" applyFill="1" applyBorder="1" applyAlignment="1" applyProtection="1">
      <alignment horizontal="left"/>
      <protection locked="0"/>
    </xf>
    <xf numFmtId="0" fontId="3" fillId="3" borderId="80" xfId="0" applyFont="1" applyFill="1" applyBorder="1" applyAlignment="1" applyProtection="1">
      <alignment horizontal="left"/>
      <protection locked="0"/>
    </xf>
    <xf numFmtId="0" fontId="3" fillId="3" borderId="81" xfId="0" applyFont="1" applyFill="1" applyBorder="1" applyAlignment="1" applyProtection="1">
      <alignment horizontal="left"/>
      <protection locked="0"/>
    </xf>
    <xf numFmtId="0" fontId="3" fillId="0" borderId="4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61" xfId="0" applyFont="1" applyBorder="1" applyAlignment="1" applyProtection="1">
      <alignment horizontal="left" vertical="center" wrapText="1"/>
      <protection locked="0"/>
    </xf>
    <xf numFmtId="0" fontId="3" fillId="0" borderId="59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60" xfId="0" applyFont="1" applyBorder="1" applyAlignment="1" applyProtection="1">
      <alignment horizontal="left" vertical="center" wrapText="1"/>
      <protection locked="0"/>
    </xf>
    <xf numFmtId="0" fontId="30" fillId="0" borderId="2" xfId="0" applyFont="1" applyBorder="1" applyAlignment="1" applyProtection="1">
      <alignment horizontal="left"/>
      <protection locked="0"/>
    </xf>
    <xf numFmtId="165" fontId="8" fillId="3" borderId="26" xfId="0" applyNumberFormat="1" applyFont="1" applyFill="1" applyBorder="1" applyAlignment="1">
      <alignment horizontal="center"/>
    </xf>
    <xf numFmtId="165" fontId="8" fillId="3" borderId="27" xfId="0" applyNumberFormat="1" applyFont="1" applyFill="1" applyBorder="1" applyAlignment="1">
      <alignment horizontal="center"/>
    </xf>
    <xf numFmtId="0" fontId="29" fillId="0" borderId="2" xfId="0" applyFont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3" fillId="3" borderId="79" xfId="0" applyFont="1" applyFill="1" applyBorder="1" applyAlignment="1" applyProtection="1">
      <alignment horizontal="left"/>
      <protection locked="0"/>
    </xf>
    <xf numFmtId="0" fontId="3" fillId="3" borderId="49" xfId="0" applyFont="1" applyFill="1" applyBorder="1" applyAlignment="1" applyProtection="1">
      <alignment horizontal="left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 applyProtection="1">
      <alignment horizontal="right"/>
      <protection locked="0"/>
    </xf>
    <xf numFmtId="0" fontId="4" fillId="3" borderId="22" xfId="0" applyFont="1" applyFill="1" applyBorder="1" applyAlignment="1" applyProtection="1">
      <alignment horizontal="right"/>
      <protection locked="0"/>
    </xf>
    <xf numFmtId="43" fontId="16" fillId="0" borderId="10" xfId="1" applyFont="1" applyBorder="1" applyAlignment="1">
      <alignment horizontal="center" vertical="center" wrapText="1"/>
    </xf>
    <xf numFmtId="43" fontId="16" fillId="0" borderId="5" xfId="1" applyFont="1" applyBorder="1" applyAlignment="1">
      <alignment horizontal="center" vertical="center" wrapText="1"/>
    </xf>
    <xf numFmtId="43" fontId="16" fillId="0" borderId="16" xfId="1" applyFont="1" applyBorder="1" applyAlignment="1">
      <alignment horizontal="center" vertical="center" wrapText="1"/>
    </xf>
    <xf numFmtId="9" fontId="4" fillId="3" borderId="56" xfId="0" applyNumberFormat="1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left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15" fillId="0" borderId="10" xfId="0" applyFont="1" applyBorder="1" applyAlignment="1" applyProtection="1">
      <alignment horizontal="left"/>
      <protection locked="0"/>
    </xf>
    <xf numFmtId="0" fontId="15" fillId="0" borderId="19" xfId="0" applyFont="1" applyBorder="1" applyAlignment="1" applyProtection="1">
      <alignment horizontal="left"/>
      <protection locked="0"/>
    </xf>
    <xf numFmtId="0" fontId="4" fillId="3" borderId="46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47" xfId="0" applyFont="1" applyFill="1" applyBorder="1" applyAlignment="1" applyProtection="1">
      <alignment horizontal="center"/>
      <protection locked="0"/>
    </xf>
    <xf numFmtId="0" fontId="16" fillId="3" borderId="21" xfId="0" applyFont="1" applyFill="1" applyBorder="1" applyAlignment="1" applyProtection="1">
      <alignment horizontal="center"/>
      <protection locked="0"/>
    </xf>
    <xf numFmtId="0" fontId="16" fillId="3" borderId="22" xfId="0" applyFont="1" applyFill="1" applyBorder="1" applyAlignment="1" applyProtection="1">
      <alignment horizontal="center"/>
      <protection locked="0"/>
    </xf>
    <xf numFmtId="9" fontId="15" fillId="0" borderId="23" xfId="0" applyNumberFormat="1" applyFont="1" applyBorder="1" applyAlignment="1" applyProtection="1">
      <alignment horizontal="right"/>
      <protection locked="0"/>
    </xf>
    <xf numFmtId="0" fontId="15" fillId="0" borderId="48" xfId="0" applyFont="1" applyBorder="1" applyAlignment="1" applyProtection="1">
      <alignment horizontal="right"/>
      <protection locked="0"/>
    </xf>
    <xf numFmtId="0" fontId="4" fillId="3" borderId="13" xfId="0" applyFont="1" applyFill="1" applyBorder="1" applyAlignment="1" applyProtection="1">
      <alignment horizontal="center" wrapText="1"/>
      <protection locked="0"/>
    </xf>
    <xf numFmtId="0" fontId="4" fillId="3" borderId="22" xfId="0" applyFont="1" applyFill="1" applyBorder="1" applyAlignment="1" applyProtection="1">
      <alignment horizontal="center" wrapText="1"/>
      <protection locked="0"/>
    </xf>
    <xf numFmtId="165" fontId="36" fillId="0" borderId="71" xfId="0" applyNumberFormat="1" applyFont="1" applyBorder="1" applyAlignment="1">
      <alignment horizontal="center" wrapText="1"/>
    </xf>
    <xf numFmtId="165" fontId="36" fillId="0" borderId="81" xfId="0" applyNumberFormat="1" applyFont="1" applyBorder="1" applyAlignment="1">
      <alignment horizontal="center" wrapText="1"/>
    </xf>
    <xf numFmtId="0" fontId="4" fillId="3" borderId="21" xfId="0" applyFont="1" applyFill="1" applyBorder="1" applyAlignment="1" applyProtection="1">
      <alignment horizontal="center"/>
      <protection locked="0"/>
    </xf>
    <xf numFmtId="0" fontId="4" fillId="3" borderId="22" xfId="0" applyFont="1" applyFill="1" applyBorder="1" applyAlignment="1" applyProtection="1">
      <alignment horizontal="center"/>
      <protection locked="0"/>
    </xf>
    <xf numFmtId="165" fontId="36" fillId="0" borderId="23" xfId="0" applyNumberFormat="1" applyFont="1" applyBorder="1" applyAlignment="1">
      <alignment horizontal="center" wrapText="1"/>
    </xf>
    <xf numFmtId="165" fontId="36" fillId="0" borderId="48" xfId="0" applyNumberFormat="1" applyFont="1" applyBorder="1" applyAlignment="1">
      <alignment horizontal="center" wrapText="1"/>
    </xf>
    <xf numFmtId="0" fontId="4" fillId="3" borderId="55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wrapText="1"/>
      <protection locked="0"/>
    </xf>
    <xf numFmtId="0" fontId="4" fillId="3" borderId="21" xfId="0" applyFont="1" applyFill="1" applyBorder="1" applyAlignment="1" applyProtection="1">
      <alignment horizontal="center" wrapText="1"/>
      <protection locked="0"/>
    </xf>
    <xf numFmtId="0" fontId="4" fillId="3" borderId="55" xfId="0" applyFont="1" applyFill="1" applyBorder="1" applyAlignment="1">
      <alignment horizontal="left" vertical="center" wrapText="1"/>
    </xf>
    <xf numFmtId="0" fontId="4" fillId="3" borderId="5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9" fontId="15" fillId="0" borderId="8" xfId="0" applyNumberFormat="1" applyFont="1" applyBorder="1" applyAlignment="1" applyProtection="1">
      <alignment horizontal="right"/>
      <protection locked="0"/>
    </xf>
    <xf numFmtId="0" fontId="15" fillId="0" borderId="49" xfId="0" applyFont="1" applyBorder="1" applyAlignment="1" applyProtection="1">
      <alignment horizontal="right"/>
      <protection locked="0"/>
    </xf>
    <xf numFmtId="165" fontId="8" fillId="3" borderId="26" xfId="0" applyNumberFormat="1" applyFont="1" applyFill="1" applyBorder="1" applyAlignment="1">
      <alignment horizontal="right"/>
    </xf>
    <xf numFmtId="165" fontId="8" fillId="3" borderId="27" xfId="0" applyNumberFormat="1" applyFont="1" applyFill="1" applyBorder="1" applyAlignment="1">
      <alignment horizontal="right"/>
    </xf>
    <xf numFmtId="0" fontId="75" fillId="5" borderId="114" xfId="0" applyFont="1" applyFill="1" applyBorder="1" applyAlignment="1" applyProtection="1">
      <alignment horizontal="center"/>
      <protection locked="0"/>
    </xf>
    <xf numFmtId="0" fontId="75" fillId="5" borderId="115" xfId="0" applyFont="1" applyFill="1" applyBorder="1" applyAlignment="1" applyProtection="1">
      <alignment horizontal="center"/>
      <protection locked="0"/>
    </xf>
    <xf numFmtId="0" fontId="71" fillId="5" borderId="4" xfId="40" applyFont="1" applyFill="1" applyBorder="1" applyAlignment="1" applyProtection="1">
      <alignment horizontal="center"/>
      <protection hidden="1"/>
    </xf>
    <xf numFmtId="0" fontId="114" fillId="0" borderId="12" xfId="0" applyFont="1" applyBorder="1" applyAlignment="1" applyProtection="1">
      <alignment horizontal="center" vertical="center" wrapText="1"/>
      <protection locked="0"/>
    </xf>
    <xf numFmtId="0" fontId="114" fillId="0" borderId="21" xfId="0" applyFont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>
      <alignment horizontal="left" vertical="center"/>
    </xf>
    <xf numFmtId="0" fontId="24" fillId="0" borderId="65" xfId="0" applyFont="1" applyBorder="1" applyAlignment="1">
      <alignment horizontal="left" vertical="center"/>
    </xf>
    <xf numFmtId="0" fontId="76" fillId="0" borderId="42" xfId="0" applyFont="1" applyBorder="1" applyAlignment="1">
      <alignment horizontal="center" vertical="center" wrapText="1"/>
    </xf>
    <xf numFmtId="0" fontId="76" fillId="0" borderId="23" xfId="0" applyFont="1" applyBorder="1" applyAlignment="1">
      <alignment horizontal="center" vertical="center" wrapText="1"/>
    </xf>
    <xf numFmtId="0" fontId="76" fillId="0" borderId="12" xfId="0" applyFont="1" applyBorder="1" applyAlignment="1" applyProtection="1">
      <alignment horizontal="center" vertical="center" wrapText="1"/>
      <protection locked="0"/>
    </xf>
    <xf numFmtId="0" fontId="76" fillId="0" borderId="21" xfId="0" applyFont="1" applyBorder="1" applyAlignment="1" applyProtection="1">
      <alignment horizontal="center" vertical="center" wrapText="1"/>
      <protection locked="0"/>
    </xf>
    <xf numFmtId="0" fontId="73" fillId="0" borderId="87" xfId="0" applyFont="1" applyBorder="1" applyAlignment="1" applyProtection="1">
      <alignment horizontal="right" vertical="center" wrapText="1"/>
      <protection locked="0"/>
    </xf>
    <xf numFmtId="0" fontId="73" fillId="0" borderId="100" xfId="0" applyFont="1" applyBorder="1" applyAlignment="1" applyProtection="1">
      <alignment horizontal="right" vertical="center" wrapText="1"/>
      <protection locked="0"/>
    </xf>
    <xf numFmtId="0" fontId="73" fillId="5" borderId="0" xfId="0" applyFont="1" applyFill="1" applyAlignment="1" applyProtection="1">
      <alignment horizontal="left" vertical="center" wrapText="1"/>
      <protection locked="0"/>
    </xf>
    <xf numFmtId="0" fontId="73" fillId="0" borderId="57" xfId="0" applyFont="1" applyBorder="1" applyAlignment="1" applyProtection="1">
      <alignment horizontal="right" vertical="center" wrapText="1"/>
      <protection locked="0"/>
    </xf>
    <xf numFmtId="0" fontId="73" fillId="0" borderId="69" xfId="0" applyFont="1" applyBorder="1" applyAlignment="1" applyProtection="1">
      <alignment horizontal="right" vertical="center" wrapText="1"/>
      <protection locked="0"/>
    </xf>
    <xf numFmtId="0" fontId="76" fillId="0" borderId="89" xfId="0" applyFont="1" applyBorder="1" applyAlignment="1" applyProtection="1">
      <alignment horizontal="right"/>
      <protection locked="0"/>
    </xf>
    <xf numFmtId="0" fontId="76" fillId="0" borderId="108" xfId="0" applyFont="1" applyBorder="1" applyAlignment="1" applyProtection="1">
      <alignment horizontal="right"/>
      <protection locked="0"/>
    </xf>
    <xf numFmtId="0" fontId="73" fillId="0" borderId="54" xfId="0" applyFont="1" applyBorder="1" applyAlignment="1" applyProtection="1">
      <alignment horizontal="center" vertical="center" wrapText="1"/>
      <protection locked="0"/>
    </xf>
    <xf numFmtId="0" fontId="73" fillId="0" borderId="55" xfId="0" applyFont="1" applyBorder="1" applyAlignment="1" applyProtection="1">
      <alignment horizontal="center" vertical="center" wrapText="1"/>
      <protection locked="0"/>
    </xf>
    <xf numFmtId="0" fontId="76" fillId="0" borderId="102" xfId="0" applyFont="1" applyBorder="1" applyAlignment="1" applyProtection="1">
      <alignment horizontal="center" vertical="center" wrapText="1"/>
      <protection locked="0"/>
    </xf>
    <xf numFmtId="0" fontId="76" fillId="0" borderId="103" xfId="0" applyFont="1" applyBorder="1" applyAlignment="1" applyProtection="1">
      <alignment horizontal="center" vertical="center" wrapText="1"/>
      <protection locked="0"/>
    </xf>
    <xf numFmtId="0" fontId="74" fillId="5" borderId="0" xfId="0" applyFont="1" applyFill="1" applyAlignment="1" applyProtection="1">
      <alignment horizontal="center"/>
      <protection locked="0"/>
    </xf>
    <xf numFmtId="0" fontId="76" fillId="0" borderId="42" xfId="0" applyFont="1" applyBorder="1" applyAlignment="1" applyProtection="1">
      <alignment horizontal="center" vertical="center" wrapText="1"/>
      <protection locked="0"/>
    </xf>
    <xf numFmtId="0" fontId="76" fillId="0" borderId="23" xfId="0" applyFont="1" applyBorder="1" applyAlignment="1" applyProtection="1">
      <alignment horizontal="center" vertical="center" wrapText="1"/>
      <protection locked="0"/>
    </xf>
    <xf numFmtId="0" fontId="73" fillId="0" borderId="57" xfId="0" applyFont="1" applyBorder="1" applyAlignment="1">
      <alignment horizontal="right" vertical="center" wrapText="1"/>
    </xf>
    <xf numFmtId="0" fontId="73" fillId="0" borderId="69" xfId="0" applyFont="1" applyBorder="1" applyAlignment="1">
      <alignment horizontal="right" vertical="center" wrapText="1"/>
    </xf>
    <xf numFmtId="0" fontId="76" fillId="0" borderId="58" xfId="0" applyFont="1" applyBorder="1" applyAlignment="1" applyProtection="1">
      <alignment horizontal="left" vertical="center"/>
      <protection locked="0"/>
    </xf>
    <xf numFmtId="0" fontId="76" fillId="0" borderId="66" xfId="0" applyFont="1" applyBorder="1" applyAlignment="1" applyProtection="1">
      <alignment horizontal="left" vertical="center"/>
      <protection locked="0"/>
    </xf>
    <xf numFmtId="0" fontId="76" fillId="0" borderId="45" xfId="0" applyFont="1" applyBorder="1" applyAlignment="1" applyProtection="1">
      <alignment horizontal="left" vertical="center"/>
      <protection locked="0"/>
    </xf>
    <xf numFmtId="0" fontId="76" fillId="0" borderId="101" xfId="0" applyFont="1" applyBorder="1" applyAlignment="1" applyProtection="1">
      <alignment horizontal="left" vertical="center"/>
      <protection locked="0"/>
    </xf>
    <xf numFmtId="0" fontId="24" fillId="0" borderId="71" xfId="0" applyFont="1" applyBorder="1" applyAlignment="1">
      <alignment horizontal="left" vertical="center"/>
    </xf>
    <xf numFmtId="0" fontId="24" fillId="0" borderId="75" xfId="0" applyFont="1" applyBorder="1" applyAlignment="1">
      <alignment horizontal="left" vertical="center"/>
    </xf>
    <xf numFmtId="0" fontId="76" fillId="0" borderId="46" xfId="0" applyFont="1" applyBorder="1" applyAlignment="1">
      <alignment horizontal="left" vertical="center" wrapText="1"/>
    </xf>
    <xf numFmtId="0" fontId="76" fillId="0" borderId="78" xfId="0" applyFont="1" applyBorder="1" applyAlignment="1">
      <alignment horizontal="left" vertical="center" wrapText="1"/>
    </xf>
    <xf numFmtId="0" fontId="76" fillId="0" borderId="59" xfId="0" applyFont="1" applyBorder="1" applyAlignment="1">
      <alignment horizontal="left" vertical="center" wrapText="1"/>
    </xf>
    <xf numFmtId="0" fontId="76" fillId="0" borderId="76" xfId="0" applyFont="1" applyBorder="1" applyAlignment="1">
      <alignment horizontal="left" vertical="center" wrapText="1"/>
    </xf>
    <xf numFmtId="0" fontId="76" fillId="0" borderId="46" xfId="0" applyFont="1" applyBorder="1" applyAlignment="1" applyProtection="1">
      <alignment horizontal="left" vertical="center"/>
      <protection locked="0"/>
    </xf>
    <xf numFmtId="0" fontId="76" fillId="0" borderId="78" xfId="0" applyFont="1" applyBorder="1" applyAlignment="1" applyProtection="1">
      <alignment horizontal="left" vertical="center"/>
      <protection locked="0"/>
    </xf>
    <xf numFmtId="0" fontId="76" fillId="0" borderId="59" xfId="0" applyFont="1" applyBorder="1" applyAlignment="1" applyProtection="1">
      <alignment horizontal="left" vertical="center"/>
      <protection locked="0"/>
    </xf>
    <xf numFmtId="0" fontId="76" fillId="0" borderId="76" xfId="0" applyFont="1" applyBorder="1" applyAlignment="1" applyProtection="1">
      <alignment horizontal="left" vertical="center"/>
      <protection locked="0"/>
    </xf>
    <xf numFmtId="0" fontId="76" fillId="0" borderId="82" xfId="0" applyFont="1" applyBorder="1" applyAlignment="1" applyProtection="1">
      <alignment horizontal="center" vertical="center" wrapText="1"/>
      <protection locked="0"/>
    </xf>
    <xf numFmtId="0" fontId="76" fillId="0" borderId="84" xfId="0" applyFont="1" applyBorder="1" applyAlignment="1" applyProtection="1">
      <alignment horizontal="center" vertical="center" wrapText="1"/>
      <protection locked="0"/>
    </xf>
    <xf numFmtId="0" fontId="93" fillId="0" borderId="85" xfId="0" applyFont="1" applyBorder="1" applyAlignment="1">
      <alignment horizontal="left" vertical="center"/>
    </xf>
    <xf numFmtId="0" fontId="93" fillId="0" borderId="64" xfId="0" applyFont="1" applyBorder="1" applyAlignment="1">
      <alignment horizontal="left" vertical="center"/>
    </xf>
    <xf numFmtId="0" fontId="93" fillId="0" borderId="83" xfId="0" applyFont="1" applyBorder="1" applyAlignment="1">
      <alignment horizontal="left" vertical="center"/>
    </xf>
    <xf numFmtId="0" fontId="93" fillId="0" borderId="65" xfId="0" applyFont="1" applyBorder="1" applyAlignment="1">
      <alignment horizontal="left" vertical="center"/>
    </xf>
    <xf numFmtId="0" fontId="75" fillId="0" borderId="54" xfId="0" applyFont="1" applyBorder="1" applyAlignment="1" applyProtection="1">
      <alignment horizontal="center"/>
      <protection locked="0"/>
    </xf>
    <xf numFmtId="0" fontId="75" fillId="0" borderId="88" xfId="0" applyFont="1" applyBorder="1" applyAlignment="1" applyProtection="1">
      <alignment horizontal="center"/>
      <protection locked="0"/>
    </xf>
    <xf numFmtId="0" fontId="76" fillId="0" borderId="13" xfId="0" applyFont="1" applyBorder="1" applyAlignment="1" applyProtection="1">
      <alignment horizontal="center" vertical="center" wrapText="1"/>
      <protection locked="0"/>
    </xf>
    <xf numFmtId="0" fontId="76" fillId="0" borderId="22" xfId="0" applyFont="1" applyBorder="1" applyAlignment="1" applyProtection="1">
      <alignment horizontal="center" vertical="center" wrapText="1"/>
      <protection locked="0"/>
    </xf>
    <xf numFmtId="0" fontId="76" fillId="0" borderId="56" xfId="0" applyFont="1" applyBorder="1" applyAlignment="1" applyProtection="1">
      <alignment horizontal="center" vertical="center" wrapText="1"/>
      <protection locked="0"/>
    </xf>
    <xf numFmtId="0" fontId="76" fillId="0" borderId="70" xfId="0" applyFont="1" applyBorder="1" applyAlignment="1" applyProtection="1">
      <alignment horizontal="center" vertical="center" wrapText="1"/>
      <protection locked="0"/>
    </xf>
    <xf numFmtId="0" fontId="76" fillId="0" borderId="55" xfId="0" applyFont="1" applyBorder="1" applyAlignment="1" applyProtection="1">
      <alignment horizontal="center" vertical="center" wrapText="1"/>
      <protection locked="0"/>
    </xf>
    <xf numFmtId="0" fontId="73" fillId="5" borderId="2" xfId="0" applyFont="1" applyFill="1" applyBorder="1" applyAlignment="1" applyProtection="1">
      <alignment horizontal="center" vertical="center" wrapText="1"/>
      <protection locked="0"/>
    </xf>
    <xf numFmtId="0" fontId="73" fillId="5" borderId="2" xfId="0" applyFont="1" applyFill="1" applyBorder="1" applyAlignment="1" applyProtection="1">
      <alignment horizontal="center" vertical="center" wrapText="1"/>
      <protection hidden="1"/>
    </xf>
    <xf numFmtId="0" fontId="76" fillId="0" borderId="77" xfId="0" applyFont="1" applyBorder="1" applyAlignment="1">
      <alignment horizontal="right"/>
    </xf>
    <xf numFmtId="0" fontId="76" fillId="0" borderId="68" xfId="0" applyFont="1" applyBorder="1" applyAlignment="1">
      <alignment horizontal="right"/>
    </xf>
    <xf numFmtId="0" fontId="76" fillId="0" borderId="6" xfId="0" applyFont="1" applyBorder="1" applyAlignment="1">
      <alignment horizontal="right"/>
    </xf>
    <xf numFmtId="0" fontId="76" fillId="0" borderId="64" xfId="0" applyFont="1" applyBorder="1" applyAlignment="1">
      <alignment horizontal="right"/>
    </xf>
    <xf numFmtId="0" fontId="76" fillId="0" borderId="8" xfId="0" applyFont="1" applyBorder="1" applyAlignment="1">
      <alignment horizontal="right"/>
    </xf>
    <xf numFmtId="0" fontId="76" fillId="0" borderId="65" xfId="0" applyFont="1" applyBorder="1" applyAlignment="1">
      <alignment horizontal="right"/>
    </xf>
    <xf numFmtId="0" fontId="76" fillId="0" borderId="5" xfId="0" applyFont="1" applyBorder="1" applyAlignment="1" applyProtection="1">
      <alignment horizontal="center"/>
      <protection locked="0"/>
    </xf>
    <xf numFmtId="0" fontId="76" fillId="0" borderId="7" xfId="0" applyFont="1" applyBorder="1" applyAlignment="1" applyProtection="1">
      <alignment horizontal="center"/>
      <protection locked="0"/>
    </xf>
    <xf numFmtId="0" fontId="76" fillId="0" borderId="12" xfId="0" applyFont="1" applyBorder="1" applyAlignment="1" applyProtection="1">
      <alignment horizontal="center"/>
      <protection locked="0"/>
    </xf>
    <xf numFmtId="0" fontId="76" fillId="0" borderId="13" xfId="0" applyFont="1" applyBorder="1" applyAlignment="1" applyProtection="1">
      <alignment horizontal="center"/>
      <protection locked="0"/>
    </xf>
    <xf numFmtId="0" fontId="73" fillId="0" borderId="11" xfId="0" applyFont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 applyProtection="1">
      <alignment horizontal="center" vertical="center" wrapText="1"/>
      <protection locked="0"/>
    </xf>
    <xf numFmtId="0" fontId="76" fillId="0" borderId="57" xfId="0" applyFont="1" applyBorder="1" applyAlignment="1">
      <alignment horizontal="right"/>
    </xf>
    <xf numFmtId="0" fontId="76" fillId="0" borderId="69" xfId="0" applyFont="1" applyBorder="1" applyAlignment="1">
      <alignment horizontal="right"/>
    </xf>
    <xf numFmtId="0" fontId="73" fillId="0" borderId="87" xfId="0" applyFont="1" applyBorder="1" applyAlignment="1">
      <alignment horizontal="right" vertical="center" wrapText="1"/>
    </xf>
    <xf numFmtId="0" fontId="76" fillId="0" borderId="92" xfId="0" applyFont="1" applyBorder="1" applyAlignment="1">
      <alignment horizontal="center" vertical="center" wrapText="1"/>
    </xf>
    <xf numFmtId="0" fontId="76" fillId="0" borderId="78" xfId="0" applyFont="1" applyBorder="1" applyAlignment="1">
      <alignment horizontal="center" vertical="center" wrapText="1"/>
    </xf>
    <xf numFmtId="0" fontId="76" fillId="0" borderId="95" xfId="0" applyFont="1" applyBorder="1" applyAlignment="1">
      <alignment horizontal="center" vertical="center" wrapText="1"/>
    </xf>
    <xf numFmtId="0" fontId="76" fillId="0" borderId="76" xfId="0" applyFont="1" applyBorder="1" applyAlignment="1">
      <alignment horizontal="center" vertical="center" wrapText="1"/>
    </xf>
    <xf numFmtId="169" fontId="39" fillId="6" borderId="57" xfId="1" applyNumberFormat="1" applyFont="1" applyFill="1" applyBorder="1" applyAlignment="1">
      <alignment horizontal="right" vertical="center"/>
    </xf>
    <xf numFmtId="169" fontId="39" fillId="6" borderId="69" xfId="1" applyNumberFormat="1" applyFont="1" applyFill="1" applyBorder="1" applyAlignment="1">
      <alignment horizontal="right" vertical="center"/>
    </xf>
    <xf numFmtId="0" fontId="126" fillId="5" borderId="0" xfId="0" applyFont="1" applyFill="1" applyAlignment="1" applyProtection="1">
      <alignment horizontal="left" vertical="center" wrapText="1"/>
      <protection locked="0"/>
    </xf>
    <xf numFmtId="0" fontId="126" fillId="5" borderId="61" xfId="0" applyFont="1" applyFill="1" applyBorder="1" applyAlignment="1" applyProtection="1">
      <alignment horizontal="left" vertical="center" wrapText="1"/>
      <protection locked="0"/>
    </xf>
    <xf numFmtId="0" fontId="37" fillId="5" borderId="4" xfId="40" applyFill="1" applyBorder="1" applyAlignment="1" applyProtection="1">
      <alignment horizontal="center"/>
      <protection hidden="1"/>
    </xf>
    <xf numFmtId="0" fontId="49" fillId="5" borderId="0" xfId="0" applyFont="1" applyFill="1" applyBorder="1" applyAlignment="1" applyProtection="1">
      <alignment vertical="center"/>
      <protection locked="0"/>
    </xf>
    <xf numFmtId="0" fontId="99" fillId="5" borderId="0" xfId="0" applyFont="1" applyFill="1" applyBorder="1" applyProtection="1">
      <protection locked="0"/>
    </xf>
    <xf numFmtId="0" fontId="98" fillId="5" borderId="0" xfId="0" applyFont="1" applyFill="1" applyBorder="1" applyProtection="1">
      <protection locked="0"/>
    </xf>
    <xf numFmtId="0" fontId="49" fillId="5" borderId="0" xfId="0" applyFont="1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horizontal="center" vertical="center"/>
      <protection locked="0"/>
    </xf>
    <xf numFmtId="0" fontId="37" fillId="5" borderId="4" xfId="40" applyFill="1" applyBorder="1" applyAlignment="1" applyProtection="1">
      <alignment horizontal="right" vertical="center" wrapText="1"/>
      <protection hidden="1"/>
    </xf>
    <xf numFmtId="0" fontId="0" fillId="5" borderId="4" xfId="0" applyFill="1" applyBorder="1" applyAlignment="1" applyProtection="1">
      <alignment horizontal="right" vertical="center" wrapText="1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27" fillId="5" borderId="0" xfId="0" applyFont="1" applyFill="1" applyAlignment="1" applyProtection="1">
      <alignment vertical="center"/>
      <protection hidden="1"/>
    </xf>
    <xf numFmtId="0" fontId="37" fillId="5" borderId="3" xfId="40" applyFill="1" applyBorder="1" applyAlignment="1" applyProtection="1">
      <alignment horizontal="right" wrapText="1"/>
      <protection hidden="1"/>
    </xf>
    <xf numFmtId="0" fontId="1" fillId="5" borderId="3" xfId="0" applyFont="1" applyFill="1" applyBorder="1" applyAlignment="1" applyProtection="1">
      <alignment horizontal="right" wrapText="1"/>
      <protection hidden="1"/>
    </xf>
    <xf numFmtId="0" fontId="98" fillId="3" borderId="117" xfId="0" applyFont="1" applyFill="1" applyBorder="1" applyAlignment="1" applyProtection="1">
      <alignment horizontal="center" vertical="center" textRotation="90" wrapText="1"/>
      <protection locked="0"/>
    </xf>
    <xf numFmtId="0" fontId="98" fillId="3" borderId="118" xfId="0" applyFont="1" applyFill="1" applyBorder="1" applyAlignment="1" applyProtection="1">
      <alignment horizontal="center" vertical="center" textRotation="90" wrapText="1"/>
      <protection locked="0"/>
    </xf>
    <xf numFmtId="0" fontId="98" fillId="8" borderId="118" xfId="0" applyFont="1" applyFill="1" applyBorder="1" applyAlignment="1" applyProtection="1">
      <alignment vertical="center" textRotation="90" wrapText="1"/>
      <protection locked="0"/>
    </xf>
    <xf numFmtId="0" fontId="0" fillId="5" borderId="0" xfId="0" applyFill="1" applyBorder="1" applyProtection="1">
      <protection locked="0"/>
    </xf>
    <xf numFmtId="0" fontId="56" fillId="5" borderId="0" xfId="0" applyFont="1" applyFill="1" applyBorder="1" applyProtection="1">
      <protection locked="0"/>
    </xf>
    <xf numFmtId="0" fontId="20" fillId="5" borderId="0" xfId="0" applyFont="1" applyFill="1" applyBorder="1" applyProtection="1">
      <protection locked="0"/>
    </xf>
    <xf numFmtId="0" fontId="22" fillId="5" borderId="0" xfId="0" applyFont="1" applyFill="1" applyBorder="1" applyProtection="1">
      <protection locked="0"/>
    </xf>
    <xf numFmtId="0" fontId="31" fillId="5" borderId="0" xfId="0" applyFont="1" applyFill="1" applyBorder="1" applyProtection="1">
      <protection locked="0"/>
    </xf>
    <xf numFmtId="0" fontId="42" fillId="5" borderId="0" xfId="0" applyFont="1" applyFill="1" applyBorder="1" applyAlignment="1" applyProtection="1">
      <alignment horizontal="center" vertical="center"/>
      <protection locked="0"/>
    </xf>
    <xf numFmtId="0" fontId="32" fillId="5" borderId="0" xfId="0" applyFont="1" applyFill="1" applyBorder="1" applyProtection="1">
      <protection locked="0"/>
    </xf>
    <xf numFmtId="0" fontId="29" fillId="5" borderId="3" xfId="0" applyFont="1" applyFill="1" applyBorder="1" applyAlignment="1" applyProtection="1">
      <alignment vertical="center"/>
      <protection locked="0"/>
    </xf>
    <xf numFmtId="0" fontId="29" fillId="5" borderId="3" xfId="0" applyFont="1" applyFill="1" applyBorder="1" applyAlignment="1" applyProtection="1">
      <alignment horizontal="center" vertical="center"/>
      <protection locked="0"/>
    </xf>
    <xf numFmtId="43" fontId="29" fillId="5" borderId="3" xfId="1" applyFont="1" applyFill="1" applyBorder="1" applyAlignment="1" applyProtection="1">
      <alignment vertical="center"/>
      <protection locked="0"/>
    </xf>
    <xf numFmtId="43" fontId="110" fillId="5" borderId="3" xfId="1" applyFont="1" applyFill="1" applyBorder="1" applyAlignment="1" applyProtection="1">
      <alignment vertical="center"/>
      <protection locked="0"/>
    </xf>
    <xf numFmtId="0" fontId="29" fillId="5" borderId="60" xfId="0" applyFont="1" applyFill="1" applyBorder="1" applyAlignment="1" applyProtection="1">
      <alignment vertical="center"/>
      <protection locked="0"/>
    </xf>
    <xf numFmtId="0" fontId="5" fillId="5" borderId="113" xfId="0" applyFont="1" applyFill="1" applyBorder="1" applyAlignment="1" applyProtection="1">
      <alignment horizontal="center"/>
      <protection locked="0"/>
    </xf>
    <xf numFmtId="0" fontId="29" fillId="5" borderId="2" xfId="0" applyFont="1" applyFill="1" applyBorder="1" applyAlignment="1" applyProtection="1">
      <alignment horizontal="left" vertical="center"/>
      <protection locked="0"/>
    </xf>
    <xf numFmtId="0" fontId="30" fillId="5" borderId="2" xfId="0" applyFont="1" applyFill="1" applyBorder="1" applyAlignment="1" applyProtection="1">
      <alignment horizontal="left" vertical="center"/>
      <protection locked="0"/>
    </xf>
    <xf numFmtId="165" fontId="2" fillId="5" borderId="0" xfId="0" applyNumberFormat="1" applyFont="1" applyFill="1" applyAlignment="1" applyProtection="1">
      <alignment horizontal="right" vertical="center"/>
      <protection locked="0"/>
    </xf>
  </cellXfs>
  <cellStyles count="65">
    <cellStyle name="Binlik Ayracı 2 2" xfId="64" xr:uid="{40D6E3F5-92ED-8641-AE4A-AE6540E3B730}"/>
    <cellStyle name="İzlenen Köprü" xfId="25" builtinId="9" hidden="1"/>
    <cellStyle name="İzlenen Köprü" xfId="27" builtinId="9" hidden="1"/>
    <cellStyle name="İzlenen Köprü" xfId="29" builtinId="9" hidden="1"/>
    <cellStyle name="İzlenen Köprü" xfId="33" builtinId="9" hidden="1"/>
    <cellStyle name="İzlenen Köprü" xfId="35" builtinId="9" hidden="1"/>
    <cellStyle name="İzlenen Köprü" xfId="37" builtinId="9" hidden="1"/>
    <cellStyle name="İzlenen Köprü" xfId="41" builtinId="9" hidden="1"/>
    <cellStyle name="İzlenen Köprü" xfId="42" builtinId="9" hidden="1"/>
    <cellStyle name="İzlenen Köprü" xfId="39" builtinId="9" hidden="1"/>
    <cellStyle name="İzlenen Köprü" xfId="31" builtinId="9" hidden="1"/>
    <cellStyle name="İzlenen Köprü" xfId="23" builtinId="9" hidden="1"/>
    <cellStyle name="İzlenen Köprü" xfId="11" builtinId="9" hidden="1"/>
    <cellStyle name="İzlenen Köprü" xfId="13" builtinId="9" hidden="1"/>
    <cellStyle name="İzlenen Köprü" xfId="17" builtinId="9" hidden="1"/>
    <cellStyle name="İzlenen Köprü" xfId="19" builtinId="9" hidden="1"/>
    <cellStyle name="İzlenen Köprü" xfId="21" builtinId="9" hidden="1"/>
    <cellStyle name="İzlenen Köprü" xfId="15" builtinId="9" hidden="1"/>
    <cellStyle name="İzlenen Köprü" xfId="7" builtinId="9" hidden="1"/>
    <cellStyle name="İzlenen Köprü" xfId="9" builtinId="9" hidden="1"/>
    <cellStyle name="İzlenen Köprü" xfId="5" builtinId="9" hidden="1"/>
    <cellStyle name="İzlenen Köprü" xfId="3" builtinId="9" hidden="1"/>
    <cellStyle name="İzlenen Köprü" xfId="43" builtinId="9" hidden="1"/>
    <cellStyle name="İzlenen Köprü" xfId="44" builtinId="9" hidden="1"/>
    <cellStyle name="İzlenen Köprü" xfId="45" builtinId="9" hidden="1"/>
    <cellStyle name="İzlenen Köprü" xfId="46" builtinId="9" hidden="1"/>
    <cellStyle name="İzlenen Köprü" xfId="47" builtinId="9" hidden="1"/>
    <cellStyle name="İzlenen Köprü" xfId="48" builtinId="9" hidden="1"/>
    <cellStyle name="İzlenen Köprü" xfId="49" builtinId="9" hidden="1"/>
    <cellStyle name="İzlenen Köprü" xfId="50" builtinId="9" hidden="1"/>
    <cellStyle name="İzlenen Köprü" xfId="51" builtinId="9" hidden="1"/>
    <cellStyle name="İzlenen Köprü" xfId="52" builtinId="9" hidden="1"/>
    <cellStyle name="İzlenen Köprü" xfId="53" builtinId="9" hidden="1"/>
    <cellStyle name="İzlenen Köprü" xfId="54" builtinId="9" hidden="1"/>
    <cellStyle name="İzlenen Köprü" xfId="55" builtinId="9" hidden="1"/>
    <cellStyle name="İzlenen Köprü" xfId="56" builtinId="9" hidden="1"/>
    <cellStyle name="İzlenen Köprü" xfId="57" builtinId="9" hidden="1"/>
    <cellStyle name="İzlenen Köprü" xfId="58" builtinId="9" hidden="1"/>
    <cellStyle name="İzlenen Köprü" xfId="59" builtinId="9" hidden="1"/>
    <cellStyle name="İzlenen Köprü" xfId="60" builtinId="9" hidden="1"/>
    <cellStyle name="İzlenen Köprü" xfId="61" builtinId="9" hidden="1"/>
    <cellStyle name="İzlenen Köprü" xfId="62" builtinId="9" hidden="1"/>
    <cellStyle name="İzlenen Köprü" xfId="63" builtinId="9" hidden="1"/>
    <cellStyle name="Köprü" xfId="18" builtinId="8" hidden="1"/>
    <cellStyle name="Köprü" xfId="20" builtinId="8" hidden="1"/>
    <cellStyle name="Köprü" xfId="22" builtinId="8" hidden="1"/>
    <cellStyle name="Köprü" xfId="26" builtinId="8" hidden="1"/>
    <cellStyle name="Köprü" xfId="28" builtinId="8" hidden="1"/>
    <cellStyle name="Köprü" xfId="30" builtinId="8" hidden="1"/>
    <cellStyle name="Köprü" xfId="32" builtinId="8" hidden="1"/>
    <cellStyle name="Köprü" xfId="34" builtinId="8" hidden="1"/>
    <cellStyle name="Köprü" xfId="36" builtinId="8" hidden="1"/>
    <cellStyle name="Köprü" xfId="38" builtinId="8" hidden="1"/>
    <cellStyle name="Köprü" xfId="24" builtinId="8" hidden="1"/>
    <cellStyle name="Köprü" xfId="10" builtinId="8" hidden="1"/>
    <cellStyle name="Köprü" xfId="12" builtinId="8" hidden="1"/>
    <cellStyle name="Köprü" xfId="14" builtinId="8" hidden="1"/>
    <cellStyle name="Köprü" xfId="16" builtinId="8" hidden="1"/>
    <cellStyle name="Köprü" xfId="8" builtinId="8" hidden="1"/>
    <cellStyle name="Köprü" xfId="4" builtinId="8" hidden="1"/>
    <cellStyle name="Köprü" xfId="6" builtinId="8" hidden="1"/>
    <cellStyle name="Köprü" xfId="2" builtinId="8" hidden="1"/>
    <cellStyle name="Köprü" xfId="40" builtinId="8"/>
    <cellStyle name="Normal" xfId="0" builtinId="0"/>
    <cellStyle name="Virgül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1275080</xdr:colOff>
      <xdr:row>0</xdr:row>
      <xdr:rowOff>833120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0" y="0"/>
          <a:ext cx="7482840" cy="833120"/>
          <a:chOff x="0" y="0"/>
          <a:chExt cx="7434580" cy="83312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7913"/>
          <a:stretch/>
        </xdr:blipFill>
        <xdr:spPr>
          <a:xfrm>
            <a:off x="0" y="0"/>
            <a:ext cx="818470" cy="833120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3020" y="66041"/>
            <a:ext cx="7401560" cy="756984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10160</xdr:rowOff>
    </xdr:from>
    <xdr:to>
      <xdr:col>9</xdr:col>
      <xdr:colOff>965200</xdr:colOff>
      <xdr:row>0</xdr:row>
      <xdr:rowOff>1330960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891908" y="10160"/>
          <a:ext cx="12288559" cy="1320800"/>
          <a:chOff x="0" y="0"/>
          <a:chExt cx="7434580" cy="833120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7913"/>
          <a:stretch/>
        </xdr:blipFill>
        <xdr:spPr>
          <a:xfrm>
            <a:off x="0" y="0"/>
            <a:ext cx="818470" cy="833120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3020" y="66041"/>
            <a:ext cx="7401560" cy="756984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17</xdr:col>
      <xdr:colOff>858107</xdr:colOff>
      <xdr:row>0</xdr:row>
      <xdr:rowOff>1487387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241300" y="0"/>
          <a:ext cx="15209107" cy="1487387"/>
          <a:chOff x="0" y="0"/>
          <a:chExt cx="7434580" cy="833120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77913"/>
          <a:stretch/>
        </xdr:blipFill>
        <xdr:spPr>
          <a:xfrm>
            <a:off x="0" y="0"/>
            <a:ext cx="818470" cy="833120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3020" y="66041"/>
            <a:ext cx="7401560" cy="75698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tufanataturkyilmaz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tufanataturkyilmaz.com/" TargetMode="External"/><Relationship Id="rId1" Type="http://schemas.microsoft.com/office/2006/relationships/xlExternalLinkPath/xlPathMissing" Target="%20%20QR%2020-21_Finansal-Plan%20%20Filiz%20G&#220;l.xls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hyperlink" Target="http://www.tufanataturkyilmaz.com/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zoomScale="125" zoomScaleNormal="125" zoomScalePageLayoutView="125" workbookViewId="0">
      <selection activeCell="A2" sqref="A2:D2"/>
    </sheetView>
  </sheetViews>
  <sheetFormatPr baseColWidth="10" defaultColWidth="10.83203125" defaultRowHeight="13"/>
  <cols>
    <col min="1" max="1" width="47.1640625" style="74" customWidth="1"/>
    <col min="2" max="2" width="16.83203125" style="74" customWidth="1"/>
    <col min="3" max="3" width="17.5" style="74" customWidth="1"/>
    <col min="4" max="4" width="16.83203125" style="74" customWidth="1"/>
    <col min="5" max="16384" width="10.83203125" style="74"/>
  </cols>
  <sheetData>
    <row r="1" spans="1:7" ht="88" customHeight="1" thickBot="1">
      <c r="A1" s="548" t="s">
        <v>279</v>
      </c>
      <c r="B1" s="549"/>
      <c r="C1" s="549"/>
      <c r="D1" s="549"/>
      <c r="E1" s="103"/>
      <c r="F1" s="103"/>
      <c r="G1" s="104"/>
    </row>
    <row r="2" spans="1:7" ht="26" customHeight="1">
      <c r="A2" s="550" t="s">
        <v>164</v>
      </c>
      <c r="B2" s="551"/>
      <c r="C2" s="551"/>
      <c r="D2" s="552"/>
      <c r="E2" s="73"/>
      <c r="F2" s="73"/>
      <c r="G2" s="105"/>
    </row>
    <row r="3" spans="1:7" ht="15" customHeight="1">
      <c r="A3" s="553" t="s">
        <v>165</v>
      </c>
      <c r="B3" s="75" t="s">
        <v>76</v>
      </c>
      <c r="C3" s="75" t="s">
        <v>77</v>
      </c>
      <c r="D3" s="76" t="s">
        <v>58</v>
      </c>
      <c r="E3" s="73"/>
      <c r="F3" s="73"/>
      <c r="G3" s="105"/>
    </row>
    <row r="4" spans="1:7" ht="26" customHeight="1">
      <c r="A4" s="554"/>
      <c r="B4" s="70" t="s">
        <v>166</v>
      </c>
      <c r="C4" s="70" t="s">
        <v>167</v>
      </c>
      <c r="D4" s="71" t="s">
        <v>167</v>
      </c>
      <c r="E4" s="73"/>
      <c r="F4" s="73"/>
      <c r="G4" s="105"/>
    </row>
    <row r="5" spans="1:7" ht="42">
      <c r="A5" s="77" t="s">
        <v>180</v>
      </c>
      <c r="B5" s="78">
        <f>'Üretim-Satış Hedefleri'!E75</f>
        <v>105200000</v>
      </c>
      <c r="C5" s="78">
        <f>'Üretim-Satış Hedefleri'!F75</f>
        <v>126240000</v>
      </c>
      <c r="D5" s="79">
        <f>'Üretim-Satış Hedefleri'!G75</f>
        <v>151488000</v>
      </c>
      <c r="E5" s="73"/>
      <c r="F5" s="73"/>
      <c r="G5" s="105"/>
    </row>
    <row r="6" spans="1:7" ht="42">
      <c r="A6" s="80" t="s">
        <v>181</v>
      </c>
      <c r="B6" s="113">
        <v>10000000</v>
      </c>
      <c r="C6" s="98"/>
      <c r="D6" s="112"/>
      <c r="E6" s="73"/>
      <c r="F6" s="73"/>
      <c r="G6" s="105"/>
    </row>
    <row r="7" spans="1:7" ht="42">
      <c r="A7" s="80" t="s">
        <v>182</v>
      </c>
      <c r="B7" s="78">
        <f>SUM('6. Finansal Plan'!E65)</f>
        <v>0</v>
      </c>
      <c r="C7" s="78">
        <f>SUM('6. Finansal Plan'!F65)</f>
        <v>0</v>
      </c>
      <c r="D7" s="79">
        <f>SUM('6. Finansal Plan'!G65)</f>
        <v>0</v>
      </c>
      <c r="E7" s="73"/>
      <c r="F7" s="73"/>
      <c r="G7" s="105"/>
    </row>
    <row r="8" spans="1:7" ht="24" customHeight="1">
      <c r="A8" s="81" t="s">
        <v>168</v>
      </c>
      <c r="B8" s="82">
        <f>SUM(B5:B7)</f>
        <v>115200000</v>
      </c>
      <c r="C8" s="82">
        <f>SUM(C5:C7)</f>
        <v>126240000</v>
      </c>
      <c r="D8" s="83">
        <f>SUM(D5:D7)</f>
        <v>151488000</v>
      </c>
      <c r="E8" s="73"/>
      <c r="F8" s="73"/>
      <c r="G8" s="105"/>
    </row>
    <row r="9" spans="1:7" ht="31" customHeight="1">
      <c r="A9" s="84" t="s">
        <v>169</v>
      </c>
      <c r="B9" s="85"/>
      <c r="C9" s="85"/>
      <c r="D9" s="86"/>
      <c r="E9" s="73"/>
      <c r="F9" s="73"/>
      <c r="G9" s="105"/>
    </row>
    <row r="10" spans="1:7" ht="42">
      <c r="A10" s="77" t="s">
        <v>183</v>
      </c>
      <c r="B10" s="78">
        <v>0</v>
      </c>
      <c r="C10" s="78">
        <f>B7</f>
        <v>0</v>
      </c>
      <c r="D10" s="79">
        <f>C7</f>
        <v>0</v>
      </c>
      <c r="E10" s="73"/>
      <c r="F10" s="73"/>
      <c r="G10" s="105"/>
    </row>
    <row r="11" spans="1:7" ht="42">
      <c r="A11" s="80" t="s">
        <v>184</v>
      </c>
      <c r="B11" s="87">
        <f>+SUM('6. Finansal Plan'!E65)</f>
        <v>0</v>
      </c>
      <c r="C11" s="87">
        <f>+SUM('6. Finansal Plan'!F65)</f>
        <v>0</v>
      </c>
      <c r="D11" s="88">
        <f>+SUM('6. Finansal Plan'!G65)</f>
        <v>0</v>
      </c>
      <c r="E11" s="73"/>
      <c r="F11" s="73"/>
      <c r="G11" s="105"/>
    </row>
    <row r="12" spans="1:7" ht="56">
      <c r="A12" s="80" t="s">
        <v>185</v>
      </c>
      <c r="B12" s="87">
        <f>SUM('6. Finansal Plan'!E66:E71)+'6. Finansal Plan'!E117</f>
        <v>21215470.326000001</v>
      </c>
      <c r="C12" s="87">
        <f>SUM('6. Finansal Plan'!F66:F71)+'6. Finansal Plan'!F117</f>
        <v>22539670.326000001</v>
      </c>
      <c r="D12" s="88">
        <f>SUM('6. Finansal Plan'!G66:G71)+'6. Finansal Plan'!G117</f>
        <v>23996290.326000005</v>
      </c>
      <c r="E12" s="73"/>
      <c r="F12" s="73"/>
      <c r="G12" s="105"/>
    </row>
    <row r="13" spans="1:7" ht="24" customHeight="1">
      <c r="A13" s="81" t="s">
        <v>170</v>
      </c>
      <c r="B13" s="89">
        <f>+SUM(B10:B12)</f>
        <v>21215470.326000001</v>
      </c>
      <c r="C13" s="89">
        <f>+SUM(C10:C12)</f>
        <v>22539670.326000001</v>
      </c>
      <c r="D13" s="90">
        <f>+SUM(D10:D12)</f>
        <v>23996290.326000005</v>
      </c>
      <c r="E13" s="73"/>
      <c r="F13" s="73"/>
      <c r="G13" s="105"/>
    </row>
    <row r="14" spans="1:7" ht="24" customHeight="1" thickBot="1">
      <c r="A14" s="91" t="s">
        <v>171</v>
      </c>
      <c r="B14" s="92">
        <f>B8-B13</f>
        <v>93984529.673999995</v>
      </c>
      <c r="C14" s="92">
        <f>C8-C13</f>
        <v>103700329.67399999</v>
      </c>
      <c r="D14" s="93">
        <f>D8-D13</f>
        <v>127491709.67399999</v>
      </c>
      <c r="E14" s="73"/>
      <c r="F14" s="73"/>
      <c r="G14" s="105"/>
    </row>
    <row r="15" spans="1:7" ht="14" thickBot="1">
      <c r="A15" s="106"/>
      <c r="E15" s="73"/>
      <c r="F15" s="73"/>
      <c r="G15" s="105"/>
    </row>
    <row r="16" spans="1:7" ht="17" customHeight="1">
      <c r="A16" s="550" t="s">
        <v>172</v>
      </c>
      <c r="B16" s="551"/>
      <c r="C16" s="551"/>
      <c r="D16" s="552"/>
      <c r="E16" s="73"/>
      <c r="F16" s="73"/>
      <c r="G16" s="105"/>
    </row>
    <row r="17" spans="1:7" ht="15" customHeight="1">
      <c r="A17" s="555" t="s">
        <v>173</v>
      </c>
      <c r="B17" s="556"/>
      <c r="C17" s="556"/>
      <c r="D17" s="557"/>
      <c r="E17" s="73"/>
      <c r="F17" s="73"/>
      <c r="G17" s="105"/>
    </row>
    <row r="18" spans="1:7">
      <c r="A18" s="546"/>
      <c r="B18" s="75" t="s">
        <v>76</v>
      </c>
      <c r="C18" s="75" t="s">
        <v>77</v>
      </c>
      <c r="D18" s="76" t="s">
        <v>58</v>
      </c>
      <c r="E18" s="73"/>
      <c r="F18" s="73"/>
      <c r="G18" s="105"/>
    </row>
    <row r="19" spans="1:7" ht="39">
      <c r="A19" s="547"/>
      <c r="B19" s="70" t="s">
        <v>166</v>
      </c>
      <c r="C19" s="70" t="s">
        <v>211</v>
      </c>
      <c r="D19" s="71" t="s">
        <v>212</v>
      </c>
      <c r="E19" s="73"/>
      <c r="F19" s="73"/>
      <c r="G19" s="105"/>
    </row>
    <row r="20" spans="1:7" ht="14">
      <c r="A20" s="94" t="s">
        <v>174</v>
      </c>
      <c r="B20" s="98">
        <v>0</v>
      </c>
      <c r="C20" s="87">
        <f>B23-(B23*0.1)</f>
        <v>35880616.467</v>
      </c>
      <c r="D20" s="88">
        <f>C23-(C23*0.1)</f>
        <v>32292554.820299998</v>
      </c>
      <c r="E20" s="73"/>
      <c r="F20" s="73"/>
      <c r="G20" s="105"/>
    </row>
    <row r="21" spans="1:7" ht="14">
      <c r="A21" s="94" t="s">
        <v>175</v>
      </c>
      <c r="B21" s="87">
        <f>'6. Finansal Plan'!G40</f>
        <v>39867351.630000003</v>
      </c>
      <c r="C21" s="98"/>
      <c r="D21" s="112"/>
      <c r="E21" s="73"/>
      <c r="F21" s="73"/>
      <c r="G21" s="105"/>
    </row>
    <row r="22" spans="1:7" ht="14">
      <c r="A22" s="94" t="s">
        <v>176</v>
      </c>
      <c r="B22" s="98"/>
      <c r="C22" s="98"/>
      <c r="D22" s="112"/>
      <c r="E22" s="73"/>
      <c r="F22" s="73"/>
      <c r="G22" s="105"/>
    </row>
    <row r="23" spans="1:7" ht="15" thickBot="1">
      <c r="A23" s="95" t="s">
        <v>177</v>
      </c>
      <c r="B23" s="96">
        <f>B20+B21-B22</f>
        <v>39867351.630000003</v>
      </c>
      <c r="C23" s="96">
        <f>C20+C21-C22</f>
        <v>35880616.467</v>
      </c>
      <c r="D23" s="97">
        <f>D20+D21-D22</f>
        <v>32292554.820299998</v>
      </c>
      <c r="E23" s="73"/>
      <c r="F23" s="73"/>
      <c r="G23" s="105"/>
    </row>
    <row r="24" spans="1:7" s="73" customFormat="1" ht="14" thickBot="1">
      <c r="A24" s="107"/>
      <c r="G24" s="105"/>
    </row>
    <row r="25" spans="1:7">
      <c r="A25" s="550" t="s">
        <v>178</v>
      </c>
      <c r="B25" s="551"/>
      <c r="C25" s="551"/>
      <c r="D25" s="552"/>
      <c r="E25" s="73"/>
      <c r="F25" s="73"/>
      <c r="G25" s="105"/>
    </row>
    <row r="26" spans="1:7">
      <c r="A26" s="546"/>
      <c r="B26" s="75" t="s">
        <v>76</v>
      </c>
      <c r="C26" s="75" t="s">
        <v>77</v>
      </c>
      <c r="D26" s="76" t="s">
        <v>58</v>
      </c>
      <c r="E26" s="73"/>
      <c r="F26" s="73"/>
      <c r="G26" s="105"/>
    </row>
    <row r="27" spans="1:7" ht="26">
      <c r="A27" s="547"/>
      <c r="B27" s="70" t="s">
        <v>166</v>
      </c>
      <c r="C27" s="70" t="s">
        <v>167</v>
      </c>
      <c r="D27" s="71" t="s">
        <v>167</v>
      </c>
      <c r="E27" s="73"/>
      <c r="F27" s="73"/>
      <c r="G27" s="105"/>
    </row>
    <row r="28" spans="1:7" ht="56">
      <c r="A28" s="94" t="s">
        <v>186</v>
      </c>
      <c r="B28" s="126">
        <f>(SUM('6. Finansal Plan'!E58+'6. Finansal Plan'!E59)*180)+(SUM('6. Finansal Plan'!F58+'6. Finansal Plan'!F59)*180)</f>
        <v>900</v>
      </c>
      <c r="C28" s="126">
        <f>(SUM('6. Finansal Plan'!F58+'6. Finansal Plan'!F59)*360)</f>
        <v>1080</v>
      </c>
      <c r="D28" s="127">
        <f>7*360</f>
        <v>2520</v>
      </c>
      <c r="E28" s="73"/>
      <c r="F28" s="73"/>
      <c r="G28" s="105"/>
    </row>
    <row r="29" spans="1:7" ht="15" thickBot="1">
      <c r="A29" s="72" t="s">
        <v>179</v>
      </c>
      <c r="B29" s="111">
        <f>B28/360</f>
        <v>2.5</v>
      </c>
      <c r="C29" s="111">
        <f>C28/360</f>
        <v>3</v>
      </c>
      <c r="D29" s="128">
        <f>D28/360</f>
        <v>7</v>
      </c>
      <c r="E29" s="73"/>
      <c r="F29" s="73"/>
      <c r="G29" s="105"/>
    </row>
    <row r="30" spans="1:7">
      <c r="A30" s="107"/>
      <c r="B30" s="73"/>
      <c r="C30" s="73"/>
      <c r="D30" s="73"/>
      <c r="E30" s="73"/>
      <c r="F30" s="73"/>
      <c r="G30" s="105"/>
    </row>
    <row r="31" spans="1:7">
      <c r="A31" s="107" t="str">
        <f>'6. Finansal Plan'!D165</f>
        <v>FORM NO: UGE 04</v>
      </c>
      <c r="B31" s="73" t="str">
        <f>'6. Finansal Plan'!E165</f>
        <v>Yayın Tarihi: Kasım / 2015</v>
      </c>
      <c r="C31" s="73"/>
      <c r="D31" s="73" t="str">
        <f>'6. Finansal Plan'!H165</f>
        <v>Revizyon Tarihi : 10.12.2024</v>
      </c>
      <c r="E31" s="115"/>
      <c r="F31" s="73"/>
      <c r="G31" s="105"/>
    </row>
    <row r="32" spans="1:7">
      <c r="A32" s="107"/>
      <c r="B32" s="73"/>
      <c r="C32" s="73"/>
      <c r="D32" s="73"/>
      <c r="E32" s="73"/>
      <c r="F32" s="73"/>
      <c r="G32" s="105"/>
    </row>
    <row r="33" spans="1:7">
      <c r="A33" s="107"/>
      <c r="B33" s="73"/>
      <c r="C33" s="73"/>
      <c r="D33" s="73"/>
      <c r="E33" s="73"/>
      <c r="F33" s="73"/>
      <c r="G33" s="105"/>
    </row>
    <row r="34" spans="1:7">
      <c r="A34" s="107"/>
      <c r="B34" s="73"/>
      <c r="C34" s="73"/>
      <c r="D34" s="73"/>
      <c r="E34" s="73"/>
      <c r="F34" s="73"/>
      <c r="G34" s="105"/>
    </row>
    <row r="35" spans="1:7" ht="14" thickBot="1">
      <c r="A35" s="108"/>
      <c r="B35" s="109"/>
      <c r="C35" s="109"/>
      <c r="D35" s="109"/>
      <c r="E35" s="109"/>
      <c r="F35" s="109"/>
      <c r="G35" s="110"/>
    </row>
  </sheetData>
  <sheetProtection formatCells="0" formatColumns="0" formatRows="0" insertColumns="0" insertRows="0" insertHyperlinks="0" deleteColumns="0" deleteRows="0" sort="0" autoFilter="0" pivotTables="0"/>
  <mergeCells count="8">
    <mergeCell ref="A26:A27"/>
    <mergeCell ref="A1:D1"/>
    <mergeCell ref="A2:D2"/>
    <mergeCell ref="A3:A4"/>
    <mergeCell ref="A16:D16"/>
    <mergeCell ref="A17:D17"/>
    <mergeCell ref="A18:A19"/>
    <mergeCell ref="A25:D25"/>
  </mergeCells>
  <hyperlinks>
    <hyperlink ref="A1" r:id="rId1" xr:uid="{CAA29D8A-E09D-E242-937E-A35DC9C16AB9}"/>
  </hyperlinks>
  <pageMargins left="0.75" right="0.75" top="1" bottom="1" header="0.5" footer="0.5"/>
  <pageSetup paperSize="9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4"/>
  <sheetViews>
    <sheetView tabSelected="1" topLeftCell="A133" zoomScale="131" zoomScaleNormal="110" zoomScalePageLayoutView="125" workbookViewId="0">
      <selection activeCell="A111" sqref="A111:XFD111"/>
    </sheetView>
  </sheetViews>
  <sheetFormatPr baseColWidth="10" defaultColWidth="8.83203125" defaultRowHeight="15"/>
  <cols>
    <col min="1" max="1" width="2.1640625" style="725" customWidth="1"/>
    <col min="2" max="2" width="9.5" style="362" customWidth="1"/>
    <col min="3" max="3" width="4.1640625" style="361" customWidth="1"/>
    <col min="4" max="4" width="56" style="296" customWidth="1"/>
    <col min="5" max="5" width="19.6640625" style="21" customWidth="1"/>
    <col min="6" max="6" width="17.6640625" style="367" customWidth="1"/>
    <col min="7" max="7" width="17.33203125" style="399" customWidth="1"/>
    <col min="8" max="8" width="19.33203125" style="18" customWidth="1"/>
    <col min="9" max="9" width="14.33203125" style="18" customWidth="1"/>
    <col min="10" max="10" width="27.33203125" style="18" customWidth="1"/>
    <col min="11" max="14" width="14.1640625" style="496" customWidth="1"/>
    <col min="15" max="17" width="14.1640625" style="18" customWidth="1"/>
    <col min="18" max="16384" width="8.83203125" style="18"/>
  </cols>
  <sheetData>
    <row r="1" spans="1:14" s="496" customFormat="1" ht="141" customHeight="1">
      <c r="A1" s="725"/>
      <c r="B1" s="713"/>
      <c r="C1" s="716"/>
      <c r="D1" s="717"/>
      <c r="E1" s="717"/>
      <c r="F1" s="717"/>
      <c r="G1" s="717"/>
      <c r="H1" s="116"/>
      <c r="I1" s="116"/>
      <c r="J1" s="117"/>
    </row>
    <row r="2" spans="1:14" s="496" customFormat="1" ht="24" customHeight="1">
      <c r="A2" s="725"/>
      <c r="B2" s="713"/>
      <c r="C2" s="718"/>
      <c r="D2" s="719" t="s">
        <v>189</v>
      </c>
      <c r="E2" s="720" t="s">
        <v>278</v>
      </c>
      <c r="F2" s="721"/>
      <c r="G2" s="721"/>
      <c r="H2" s="114"/>
      <c r="I2" s="114"/>
      <c r="J2" s="118"/>
    </row>
    <row r="3" spans="1:14" s="19" customFormat="1" ht="27" customHeight="1">
      <c r="A3" s="725"/>
      <c r="B3" s="713"/>
      <c r="C3" s="281"/>
      <c r="D3" s="282" t="s">
        <v>190</v>
      </c>
      <c r="E3" s="241"/>
      <c r="F3" s="365"/>
      <c r="G3" s="397"/>
      <c r="J3" s="119"/>
      <c r="K3" s="496"/>
      <c r="L3" s="496"/>
      <c r="M3" s="496"/>
      <c r="N3" s="496"/>
    </row>
    <row r="4" spans="1:14" s="20" customFormat="1" ht="27" customHeight="1" thickBot="1">
      <c r="A4" s="725"/>
      <c r="B4" s="713"/>
      <c r="C4" s="714"/>
      <c r="D4" s="283"/>
      <c r="E4" s="242"/>
      <c r="F4" s="366"/>
      <c r="G4" s="398"/>
      <c r="H4" s="114"/>
      <c r="I4" s="114"/>
      <c r="J4" s="118"/>
      <c r="K4" s="496"/>
      <c r="L4" s="496"/>
      <c r="M4" s="496"/>
      <c r="N4" s="496"/>
    </row>
    <row r="5" spans="1:14" ht="19">
      <c r="B5" s="713"/>
      <c r="C5" s="284"/>
      <c r="D5" s="602" t="s">
        <v>0</v>
      </c>
      <c r="E5" s="603"/>
      <c r="F5" s="603"/>
      <c r="G5" s="604"/>
      <c r="H5" s="114" t="s">
        <v>252</v>
      </c>
      <c r="I5" s="114">
        <v>37</v>
      </c>
      <c r="J5" s="118"/>
    </row>
    <row r="6" spans="1:14" ht="19">
      <c r="B6" s="497"/>
      <c r="C6" s="285"/>
      <c r="D6" s="286" t="s">
        <v>1</v>
      </c>
      <c r="E6" s="125" t="s">
        <v>2</v>
      </c>
      <c r="F6" s="605" t="s">
        <v>3</v>
      </c>
      <c r="G6" s="606"/>
      <c r="H6" s="114"/>
      <c r="I6" s="114"/>
      <c r="J6" s="118"/>
    </row>
    <row r="7" spans="1:14" ht="14" customHeight="1">
      <c r="B7" s="497"/>
      <c r="C7" s="287">
        <v>1</v>
      </c>
      <c r="D7" s="288" t="s">
        <v>4</v>
      </c>
      <c r="E7" s="243">
        <v>175000</v>
      </c>
      <c r="F7" s="600"/>
      <c r="G7" s="601"/>
      <c r="H7" s="114" t="s">
        <v>5</v>
      </c>
      <c r="I7" s="114"/>
      <c r="J7" s="118"/>
    </row>
    <row r="8" spans="1:14" ht="14" customHeight="1">
      <c r="B8" s="497"/>
      <c r="C8" s="287">
        <v>2</v>
      </c>
      <c r="D8" s="288" t="s">
        <v>6</v>
      </c>
      <c r="E8" s="243">
        <v>4325000</v>
      </c>
      <c r="F8" s="600"/>
      <c r="G8" s="601"/>
      <c r="H8" s="114" t="s">
        <v>7</v>
      </c>
      <c r="I8" s="114"/>
      <c r="J8" s="118"/>
    </row>
    <row r="9" spans="1:14" ht="14" customHeight="1">
      <c r="B9" s="497"/>
      <c r="C9" s="289">
        <v>3</v>
      </c>
      <c r="D9" s="290" t="s">
        <v>8</v>
      </c>
      <c r="E9" s="244">
        <f>I5*G38</f>
        <v>39867351.630000003</v>
      </c>
      <c r="F9" s="598"/>
      <c r="G9" s="599"/>
      <c r="H9" s="114" t="s">
        <v>9</v>
      </c>
      <c r="I9" s="114"/>
      <c r="J9" s="118"/>
    </row>
    <row r="10" spans="1:14" ht="14" customHeight="1">
      <c r="B10" s="497"/>
      <c r="C10" s="289">
        <v>4</v>
      </c>
      <c r="D10" s="291" t="s">
        <v>10</v>
      </c>
      <c r="E10" s="245">
        <v>60000</v>
      </c>
      <c r="F10" s="598"/>
      <c r="G10" s="599"/>
      <c r="H10" s="114" t="s">
        <v>11</v>
      </c>
      <c r="I10" s="114"/>
      <c r="J10" s="118"/>
    </row>
    <row r="11" spans="1:14" ht="14" customHeight="1">
      <c r="B11" s="497"/>
      <c r="C11" s="289">
        <v>5</v>
      </c>
      <c r="D11" s="291" t="s">
        <v>12</v>
      </c>
      <c r="E11" s="245">
        <v>0</v>
      </c>
      <c r="F11" s="598"/>
      <c r="G11" s="599"/>
      <c r="H11" s="114" t="s">
        <v>13</v>
      </c>
      <c r="I11" s="114"/>
      <c r="J11" s="118"/>
    </row>
    <row r="12" spans="1:14" ht="14" customHeight="1">
      <c r="B12" s="497"/>
      <c r="C12" s="289">
        <v>6</v>
      </c>
      <c r="D12" s="291" t="s">
        <v>14</v>
      </c>
      <c r="E12" s="245">
        <v>0</v>
      </c>
      <c r="F12" s="598"/>
      <c r="G12" s="599"/>
      <c r="H12" s="114" t="s">
        <v>15</v>
      </c>
      <c r="I12" s="114"/>
      <c r="J12" s="118"/>
    </row>
    <row r="13" spans="1:14" ht="14" customHeight="1">
      <c r="B13" s="497"/>
      <c r="C13" s="289">
        <v>7</v>
      </c>
      <c r="D13" s="291" t="s">
        <v>16</v>
      </c>
      <c r="E13" s="245">
        <v>0</v>
      </c>
      <c r="F13" s="598"/>
      <c r="G13" s="599"/>
      <c r="H13" s="114" t="s">
        <v>17</v>
      </c>
      <c r="I13" s="114"/>
      <c r="J13" s="118"/>
    </row>
    <row r="14" spans="1:14" ht="14" customHeight="1">
      <c r="B14" s="497"/>
      <c r="C14" s="289">
        <v>8</v>
      </c>
      <c r="D14" s="291" t="s">
        <v>18</v>
      </c>
      <c r="E14" s="245">
        <v>100000</v>
      </c>
      <c r="F14" s="598"/>
      <c r="G14" s="599"/>
      <c r="H14" s="114" t="s">
        <v>19</v>
      </c>
      <c r="I14" s="114"/>
      <c r="J14" s="118"/>
    </row>
    <row r="15" spans="1:14" ht="14" customHeight="1">
      <c r="B15" s="497"/>
      <c r="C15" s="289">
        <v>9</v>
      </c>
      <c r="D15" s="291" t="s">
        <v>20</v>
      </c>
      <c r="E15" s="245">
        <v>200000</v>
      </c>
      <c r="F15" s="598"/>
      <c r="G15" s="599"/>
      <c r="H15" s="114" t="s">
        <v>21</v>
      </c>
      <c r="I15" s="114"/>
      <c r="J15" s="118"/>
    </row>
    <row r="16" spans="1:14" ht="14" customHeight="1">
      <c r="B16" s="497"/>
      <c r="C16" s="289">
        <v>10</v>
      </c>
      <c r="D16" s="292" t="s">
        <v>22</v>
      </c>
      <c r="E16" s="246">
        <f>'Kuruluş Dönemi Masrafları'!D17</f>
        <v>0</v>
      </c>
      <c r="F16" s="598"/>
      <c r="G16" s="599"/>
      <c r="H16" s="114" t="s">
        <v>23</v>
      </c>
      <c r="I16" s="114"/>
      <c r="J16" s="118"/>
    </row>
    <row r="17" spans="1:14" ht="14" customHeight="1">
      <c r="B17" s="497"/>
      <c r="C17" s="289">
        <v>11</v>
      </c>
      <c r="D17" s="291" t="s">
        <v>24</v>
      </c>
      <c r="E17" s="246">
        <f>SUM(E7:E16)*F17</f>
        <v>894547.03260000004</v>
      </c>
      <c r="F17" s="627">
        <v>0.02</v>
      </c>
      <c r="G17" s="628"/>
      <c r="H17" s="114" t="s">
        <v>25</v>
      </c>
      <c r="I17" s="114"/>
      <c r="J17" s="118"/>
    </row>
    <row r="18" spans="1:14" ht="14" customHeight="1">
      <c r="B18" s="497"/>
      <c r="C18" s="285">
        <v>12</v>
      </c>
      <c r="D18" s="293" t="s">
        <v>26</v>
      </c>
      <c r="E18" s="247">
        <v>1000000</v>
      </c>
      <c r="F18" s="607"/>
      <c r="G18" s="608"/>
      <c r="H18" s="114" t="s">
        <v>27</v>
      </c>
      <c r="I18" s="114"/>
      <c r="J18" s="118"/>
    </row>
    <row r="19" spans="1:14" ht="20" thickBot="1">
      <c r="B19" s="497"/>
      <c r="C19" s="294"/>
      <c r="D19" s="295" t="s">
        <v>28</v>
      </c>
      <c r="E19" s="629">
        <f>SUM(E7:E18)</f>
        <v>46621898.662600003</v>
      </c>
      <c r="F19" s="629"/>
      <c r="G19" s="630"/>
      <c r="H19" s="114"/>
      <c r="I19" s="114"/>
      <c r="J19" s="118"/>
    </row>
    <row r="20" spans="1:14" s="496" customFormat="1" ht="16" thickBot="1">
      <c r="A20" s="725"/>
      <c r="B20" s="713"/>
      <c r="C20" s="715"/>
      <c r="D20" s="538"/>
      <c r="E20" s="539"/>
      <c r="F20" s="540"/>
      <c r="G20" s="541"/>
      <c r="H20" s="114"/>
      <c r="I20" s="114"/>
      <c r="J20" s="118"/>
    </row>
    <row r="21" spans="1:14" ht="19">
      <c r="B21" s="497"/>
      <c r="C21" s="284"/>
      <c r="D21" s="625" t="s">
        <v>29</v>
      </c>
      <c r="E21" s="625"/>
      <c r="F21" s="625"/>
      <c r="G21" s="626"/>
      <c r="H21" s="114"/>
      <c r="I21" s="114"/>
      <c r="J21" s="118"/>
    </row>
    <row r="22" spans="1:14" ht="19">
      <c r="B22" s="497"/>
      <c r="C22" s="285"/>
      <c r="D22" s="297" t="s">
        <v>30</v>
      </c>
      <c r="E22" s="123" t="s">
        <v>248</v>
      </c>
      <c r="F22" s="368" t="s">
        <v>256</v>
      </c>
      <c r="G22" s="400" t="s">
        <v>257</v>
      </c>
      <c r="H22" s="114"/>
      <c r="I22" s="114"/>
      <c r="J22" s="118"/>
    </row>
    <row r="23" spans="1:14" ht="15" customHeight="1">
      <c r="B23" s="722"/>
      <c r="C23" s="519">
        <v>1</v>
      </c>
      <c r="D23" s="516"/>
      <c r="E23" s="511">
        <v>1</v>
      </c>
      <c r="F23" s="513">
        <v>388000</v>
      </c>
      <c r="G23" s="401">
        <f t="shared" ref="G23:G28" si="0">E23*F23</f>
        <v>388000</v>
      </c>
      <c r="H23" s="114"/>
      <c r="I23" s="114"/>
      <c r="J23" s="118"/>
    </row>
    <row r="24" spans="1:14">
      <c r="B24" s="723"/>
      <c r="C24" s="518">
        <v>2</v>
      </c>
      <c r="D24" s="516"/>
      <c r="E24" s="511">
        <v>1</v>
      </c>
      <c r="F24" s="513">
        <v>278000</v>
      </c>
      <c r="G24" s="401">
        <f t="shared" si="0"/>
        <v>278000</v>
      </c>
      <c r="H24" s="114"/>
      <c r="I24" s="114"/>
      <c r="J24" s="118"/>
    </row>
    <row r="25" spans="1:14">
      <c r="B25" s="723"/>
      <c r="C25" s="518">
        <v>3</v>
      </c>
      <c r="D25" s="516"/>
      <c r="E25" s="511">
        <v>1</v>
      </c>
      <c r="F25" s="513">
        <v>164000</v>
      </c>
      <c r="G25" s="401">
        <f t="shared" si="0"/>
        <v>164000</v>
      </c>
      <c r="H25" s="114"/>
      <c r="I25" s="114"/>
      <c r="J25" s="118"/>
    </row>
    <row r="26" spans="1:14">
      <c r="B26" s="723"/>
      <c r="C26" s="518">
        <v>4</v>
      </c>
      <c r="D26" s="516"/>
      <c r="E26" s="511">
        <v>1</v>
      </c>
      <c r="F26" s="513">
        <v>52940</v>
      </c>
      <c r="G26" s="401">
        <f t="shared" si="0"/>
        <v>52940</v>
      </c>
      <c r="H26" s="114"/>
      <c r="I26" s="114"/>
      <c r="J26" s="118"/>
    </row>
    <row r="27" spans="1:14">
      <c r="B27" s="723"/>
      <c r="C27" s="518">
        <v>5</v>
      </c>
      <c r="D27" s="516"/>
      <c r="E27" s="511">
        <v>1</v>
      </c>
      <c r="F27" s="513">
        <v>76450</v>
      </c>
      <c r="G27" s="401">
        <f t="shared" si="0"/>
        <v>76450</v>
      </c>
      <c r="H27" s="114"/>
      <c r="I27" s="114"/>
      <c r="J27" s="118"/>
    </row>
    <row r="28" spans="1:14">
      <c r="B28" s="723"/>
      <c r="C28" s="518">
        <v>6</v>
      </c>
      <c r="D28" s="516"/>
      <c r="E28" s="511">
        <v>1</v>
      </c>
      <c r="F28" s="513">
        <v>37300</v>
      </c>
      <c r="G28" s="401">
        <f t="shared" si="0"/>
        <v>37300</v>
      </c>
      <c r="H28" s="114"/>
      <c r="I28" s="114"/>
      <c r="J28" s="118"/>
    </row>
    <row r="29" spans="1:14" ht="15" customHeight="1">
      <c r="B29" s="724"/>
      <c r="C29" s="517">
        <v>20</v>
      </c>
      <c r="D29" s="512"/>
      <c r="E29" s="363">
        <v>1</v>
      </c>
      <c r="F29" s="514">
        <f>G29/E29</f>
        <v>18933.07</v>
      </c>
      <c r="G29" s="520">
        <v>18933.07</v>
      </c>
      <c r="H29" s="114"/>
      <c r="I29" s="114"/>
      <c r="J29" s="118"/>
    </row>
    <row r="30" spans="1:14" s="130" customFormat="1">
      <c r="A30" s="726"/>
      <c r="B30" s="724"/>
      <c r="C30" s="363">
        <v>21</v>
      </c>
      <c r="D30" s="512"/>
      <c r="E30" s="363">
        <v>1</v>
      </c>
      <c r="F30" s="514">
        <f t="shared" ref="F30:F37" si="1">G30/E30</f>
        <v>18827.990000000002</v>
      </c>
      <c r="G30" s="520">
        <v>18827.990000000002</v>
      </c>
      <c r="H30" s="114"/>
      <c r="I30" s="114"/>
      <c r="J30" s="129"/>
      <c r="K30" s="505"/>
      <c r="L30" s="505"/>
      <c r="M30" s="505"/>
      <c r="N30" s="496"/>
    </row>
    <row r="31" spans="1:14" s="130" customFormat="1">
      <c r="A31" s="726"/>
      <c r="B31" s="724"/>
      <c r="C31" s="517">
        <v>22</v>
      </c>
      <c r="D31" s="512"/>
      <c r="E31" s="363">
        <v>2</v>
      </c>
      <c r="F31" s="514">
        <v>2763.2</v>
      </c>
      <c r="G31" s="520">
        <f>F31*E31</f>
        <v>5526.4</v>
      </c>
      <c r="H31" s="114"/>
      <c r="I31" s="114"/>
      <c r="J31" s="129"/>
      <c r="K31" s="505"/>
      <c r="L31" s="505"/>
      <c r="M31" s="505"/>
      <c r="N31" s="496"/>
    </row>
    <row r="32" spans="1:14" s="130" customFormat="1">
      <c r="A32" s="726"/>
      <c r="B32" s="724"/>
      <c r="C32" s="363">
        <v>23</v>
      </c>
      <c r="D32" s="512"/>
      <c r="E32" s="363">
        <v>2</v>
      </c>
      <c r="F32" s="514">
        <v>6977.34</v>
      </c>
      <c r="G32" s="402">
        <f>F32*E32</f>
        <v>13954.68</v>
      </c>
      <c r="H32" s="114"/>
      <c r="I32" s="114"/>
      <c r="J32" s="129"/>
      <c r="K32" s="505"/>
      <c r="L32" s="505"/>
      <c r="M32" s="505"/>
      <c r="N32" s="496"/>
    </row>
    <row r="33" spans="1:14" s="130" customFormat="1">
      <c r="A33" s="726"/>
      <c r="B33" s="724"/>
      <c r="C33" s="517">
        <v>24</v>
      </c>
      <c r="D33" s="512"/>
      <c r="E33" s="363">
        <v>1</v>
      </c>
      <c r="F33" s="514">
        <v>15203.91</v>
      </c>
      <c r="G33" s="402">
        <f>F33*E33</f>
        <v>15203.91</v>
      </c>
      <c r="H33" s="114"/>
      <c r="I33" s="114"/>
      <c r="J33" s="129"/>
      <c r="K33" s="505"/>
      <c r="L33" s="505"/>
      <c r="M33" s="505"/>
      <c r="N33" s="496"/>
    </row>
    <row r="34" spans="1:14" s="130" customFormat="1">
      <c r="A34" s="726"/>
      <c r="B34" s="724"/>
      <c r="C34" s="363">
        <v>25</v>
      </c>
      <c r="D34" s="512"/>
      <c r="E34" s="363">
        <v>1</v>
      </c>
      <c r="F34" s="514">
        <f t="shared" si="1"/>
        <v>443.61</v>
      </c>
      <c r="G34" s="402">
        <v>443.61</v>
      </c>
      <c r="H34" s="114"/>
      <c r="I34" s="114"/>
      <c r="J34" s="129"/>
      <c r="K34" s="505"/>
      <c r="L34" s="505"/>
      <c r="M34" s="505"/>
      <c r="N34" s="496"/>
    </row>
    <row r="35" spans="1:14" s="130" customFormat="1">
      <c r="A35" s="726"/>
      <c r="B35" s="724"/>
      <c r="C35" s="517">
        <v>26</v>
      </c>
      <c r="D35" s="512"/>
      <c r="E35" s="363">
        <v>4</v>
      </c>
      <c r="F35" s="514">
        <f t="shared" si="1"/>
        <v>1527.0250000000001</v>
      </c>
      <c r="G35" s="402">
        <v>6108.1</v>
      </c>
      <c r="H35" s="114"/>
      <c r="I35" s="114"/>
      <c r="J35" s="129"/>
      <c r="K35" s="505"/>
      <c r="L35" s="505"/>
      <c r="M35" s="505"/>
      <c r="N35" s="496"/>
    </row>
    <row r="36" spans="1:14" s="130" customFormat="1">
      <c r="A36" s="726"/>
      <c r="B36" s="724"/>
      <c r="C36" s="363">
        <v>27</v>
      </c>
      <c r="D36" s="512"/>
      <c r="E36" s="363">
        <v>66</v>
      </c>
      <c r="F36" s="514">
        <f t="shared" si="1"/>
        <v>18.630151515151514</v>
      </c>
      <c r="G36" s="402">
        <v>1229.5899999999999</v>
      </c>
      <c r="H36" s="114"/>
      <c r="I36" s="114"/>
      <c r="J36" s="129"/>
      <c r="K36" s="505"/>
      <c r="L36" s="505"/>
      <c r="M36" s="505"/>
      <c r="N36" s="496"/>
    </row>
    <row r="37" spans="1:14" s="130" customFormat="1">
      <c r="A37" s="726"/>
      <c r="B37" s="724"/>
      <c r="C37" s="517">
        <v>28</v>
      </c>
      <c r="D37" s="512"/>
      <c r="E37" s="363">
        <v>1</v>
      </c>
      <c r="F37" s="514">
        <f t="shared" si="1"/>
        <v>578.64</v>
      </c>
      <c r="G37" s="402">
        <v>578.64</v>
      </c>
      <c r="H37" s="114"/>
      <c r="I37" s="114"/>
      <c r="J37" s="129"/>
      <c r="K37" s="505"/>
      <c r="L37" s="505"/>
      <c r="M37" s="505"/>
      <c r="N37" s="496"/>
    </row>
    <row r="38" spans="1:14" ht="19">
      <c r="B38" s="497"/>
      <c r="C38" s="287"/>
      <c r="D38" s="298" t="s">
        <v>258</v>
      </c>
      <c r="E38" s="22"/>
      <c r="F38" s="369"/>
      <c r="G38" s="403">
        <f>SUM(G23:G37)</f>
        <v>1077495.99</v>
      </c>
      <c r="H38" s="114"/>
      <c r="I38" s="114"/>
      <c r="J38" s="118"/>
    </row>
    <row r="39" spans="1:14" ht="19">
      <c r="B39" s="497"/>
      <c r="C39" s="289"/>
      <c r="D39" s="298" t="s">
        <v>259</v>
      </c>
      <c r="E39" s="248"/>
      <c r="F39" s="370"/>
      <c r="G39" s="404">
        <f>G38*I5</f>
        <v>39867351.630000003</v>
      </c>
      <c r="H39" s="114"/>
      <c r="I39" s="114"/>
      <c r="J39" s="118"/>
    </row>
    <row r="40" spans="1:14" ht="20" thickBot="1">
      <c r="B40" s="497"/>
      <c r="C40" s="299"/>
      <c r="D40" s="300" t="s">
        <v>260</v>
      </c>
      <c r="E40" s="249"/>
      <c r="F40" s="371"/>
      <c r="G40" s="405">
        <f>SUM(G39)</f>
        <v>39867351.630000003</v>
      </c>
      <c r="H40" s="114"/>
      <c r="I40" s="114"/>
      <c r="J40" s="118"/>
    </row>
    <row r="41" spans="1:14">
      <c r="B41" s="713"/>
      <c r="C41" s="711"/>
      <c r="D41" s="302"/>
      <c r="E41" s="250"/>
      <c r="F41" s="372"/>
      <c r="G41" s="406"/>
      <c r="H41" s="114"/>
      <c r="I41" s="114"/>
      <c r="J41" s="118"/>
    </row>
    <row r="42" spans="1:14" s="19" customFormat="1" ht="21" customHeight="1">
      <c r="A42" s="727"/>
      <c r="B42" s="504"/>
      <c r="C42" s="515"/>
      <c r="D42" s="31" t="s">
        <v>191</v>
      </c>
      <c r="E42" s="251"/>
      <c r="F42" s="373"/>
      <c r="G42" s="407"/>
      <c r="H42" s="23"/>
      <c r="J42" s="119"/>
      <c r="K42" s="502"/>
      <c r="L42" s="502"/>
      <c r="M42" s="502"/>
      <c r="N42" s="502"/>
    </row>
    <row r="43" spans="1:14" s="20" customFormat="1" ht="21" customHeight="1" thickBot="1">
      <c r="A43" s="727"/>
      <c r="B43" s="712"/>
      <c r="C43" s="711"/>
      <c r="D43" s="302"/>
      <c r="E43" s="250"/>
      <c r="F43" s="372"/>
      <c r="G43" s="406"/>
      <c r="H43" s="114"/>
      <c r="I43" s="114"/>
      <c r="J43" s="118"/>
      <c r="K43" s="503"/>
      <c r="L43" s="503"/>
      <c r="M43" s="503"/>
      <c r="N43" s="503"/>
    </row>
    <row r="44" spans="1:14" ht="25.5" customHeight="1">
      <c r="B44" s="497"/>
      <c r="C44" s="284"/>
      <c r="D44" s="623" t="s">
        <v>32</v>
      </c>
      <c r="E44" s="621" t="s">
        <v>33</v>
      </c>
      <c r="F44" s="621" t="s">
        <v>34</v>
      </c>
      <c r="G44" s="621"/>
      <c r="H44" s="621" t="s">
        <v>35</v>
      </c>
      <c r="I44" s="609" t="s">
        <v>36</v>
      </c>
      <c r="J44" s="118"/>
    </row>
    <row r="45" spans="1:14" ht="25.5" customHeight="1">
      <c r="B45" s="497"/>
      <c r="C45" s="285"/>
      <c r="D45" s="624"/>
      <c r="E45" s="622"/>
      <c r="F45" s="374" t="s">
        <v>37</v>
      </c>
      <c r="G45" s="408" t="s">
        <v>38</v>
      </c>
      <c r="H45" s="622"/>
      <c r="I45" s="610"/>
      <c r="J45" s="118"/>
    </row>
    <row r="46" spans="1:14">
      <c r="B46" s="497"/>
      <c r="C46" s="287">
        <v>1</v>
      </c>
      <c r="D46" s="304" t="s">
        <v>39</v>
      </c>
      <c r="E46" s="252">
        <f>'Üretim-Satış Hedefleri'!Q36</f>
        <v>0</v>
      </c>
      <c r="F46" s="375">
        <v>0</v>
      </c>
      <c r="G46" s="409">
        <f>100-F46</f>
        <v>100</v>
      </c>
      <c r="H46" s="40">
        <f>E46*F46/100</f>
        <v>0</v>
      </c>
      <c r="I46" s="41">
        <f>E46*G46/100</f>
        <v>0</v>
      </c>
      <c r="J46" s="118"/>
    </row>
    <row r="47" spans="1:14">
      <c r="B47" s="497"/>
      <c r="C47" s="289">
        <v>2</v>
      </c>
      <c r="D47" s="305" t="s">
        <v>40</v>
      </c>
      <c r="E47" s="253">
        <f>'Üretim-Satış Hedefleri'!Q38</f>
        <v>0</v>
      </c>
      <c r="F47" s="376"/>
      <c r="G47" s="410">
        <f>100-F47</f>
        <v>100</v>
      </c>
      <c r="H47" s="39">
        <f t="shared" ref="H47:H51" si="2">E47*F47/100</f>
        <v>0</v>
      </c>
      <c r="I47" s="42">
        <f t="shared" ref="I47:I51" si="3">E47*G47/100</f>
        <v>0</v>
      </c>
      <c r="J47" s="118"/>
    </row>
    <row r="48" spans="1:14">
      <c r="B48" s="497"/>
      <c r="C48" s="289">
        <v>3</v>
      </c>
      <c r="D48" s="305" t="s">
        <v>41</v>
      </c>
      <c r="E48" s="253">
        <f>'Üretim-Satış Hedefleri'!Q39</f>
        <v>6500000</v>
      </c>
      <c r="F48" s="376">
        <v>10</v>
      </c>
      <c r="G48" s="410">
        <f t="shared" ref="G48:G52" si="4">100-F48</f>
        <v>90</v>
      </c>
      <c r="H48" s="39">
        <f t="shared" si="2"/>
        <v>650000</v>
      </c>
      <c r="I48" s="42">
        <f t="shared" si="3"/>
        <v>5850000</v>
      </c>
      <c r="J48" s="118"/>
    </row>
    <row r="49" spans="1:10">
      <c r="B49" s="497"/>
      <c r="C49" s="289">
        <v>7</v>
      </c>
      <c r="D49" s="305" t="s">
        <v>42</v>
      </c>
      <c r="E49" s="253">
        <f>H60</f>
        <v>2820000</v>
      </c>
      <c r="F49" s="376">
        <v>100</v>
      </c>
      <c r="G49" s="410">
        <f t="shared" si="4"/>
        <v>0</v>
      </c>
      <c r="H49" s="39">
        <f t="shared" si="2"/>
        <v>2820000</v>
      </c>
      <c r="I49" s="42">
        <f t="shared" si="3"/>
        <v>0</v>
      </c>
      <c r="J49" s="118"/>
    </row>
    <row r="50" spans="1:10">
      <c r="B50" s="497"/>
      <c r="C50" s="289">
        <v>11</v>
      </c>
      <c r="D50" s="305" t="s">
        <v>43</v>
      </c>
      <c r="E50" s="253">
        <f>'Üretim-Satış Hedefleri'!Q40</f>
        <v>3156000</v>
      </c>
      <c r="F50" s="376">
        <v>50</v>
      </c>
      <c r="G50" s="410">
        <f t="shared" si="4"/>
        <v>50</v>
      </c>
      <c r="H50" s="39">
        <f t="shared" si="2"/>
        <v>1578000</v>
      </c>
      <c r="I50" s="42">
        <f t="shared" si="3"/>
        <v>1578000</v>
      </c>
      <c r="J50" s="118"/>
    </row>
    <row r="51" spans="1:10">
      <c r="B51" s="497"/>
      <c r="C51" s="289">
        <v>12</v>
      </c>
      <c r="D51" s="305" t="s">
        <v>44</v>
      </c>
      <c r="E51" s="253">
        <f>'Üretim-Satış Hedefleri'!Q41</f>
        <v>240000</v>
      </c>
      <c r="F51" s="376">
        <v>0</v>
      </c>
      <c r="G51" s="410">
        <f t="shared" si="4"/>
        <v>100</v>
      </c>
      <c r="H51" s="39">
        <f t="shared" si="2"/>
        <v>0</v>
      </c>
      <c r="I51" s="42">
        <f t="shared" si="3"/>
        <v>240000</v>
      </c>
      <c r="J51" s="118"/>
    </row>
    <row r="52" spans="1:10" ht="14" customHeight="1">
      <c r="B52" s="497"/>
      <c r="C52" s="306">
        <v>13</v>
      </c>
      <c r="D52" s="136" t="s">
        <v>45</v>
      </c>
      <c r="E52" s="254">
        <f>'Üretim-Satış Hedefleri'!Q43*0.05</f>
        <v>526000</v>
      </c>
      <c r="F52" s="377">
        <v>70</v>
      </c>
      <c r="G52" s="411">
        <f t="shared" si="4"/>
        <v>30</v>
      </c>
      <c r="H52" s="134">
        <f>E52*F52/100</f>
        <v>368200</v>
      </c>
      <c r="I52" s="135">
        <f>E52*G52/100</f>
        <v>157800</v>
      </c>
      <c r="J52" s="118"/>
    </row>
    <row r="53" spans="1:10" ht="21" thickBot="1">
      <c r="B53" s="497"/>
      <c r="C53" s="294"/>
      <c r="D53" s="307" t="s">
        <v>31</v>
      </c>
      <c r="E53" s="255">
        <f>SUM(E46:E52)</f>
        <v>13242000</v>
      </c>
      <c r="F53" s="378"/>
      <c r="G53" s="412"/>
      <c r="H53" s="54">
        <f>SUM(H46:H52)</f>
        <v>5416200</v>
      </c>
      <c r="I53" s="55">
        <f>SUM(I46:I52)</f>
        <v>7825800</v>
      </c>
      <c r="J53" s="118"/>
    </row>
    <row r="54" spans="1:10" ht="16" thickBot="1">
      <c r="B54" s="713"/>
      <c r="C54" s="711"/>
      <c r="D54" s="302"/>
      <c r="E54" s="250"/>
      <c r="F54" s="372"/>
      <c r="G54" s="406"/>
      <c r="H54" s="114"/>
      <c r="I54" s="114"/>
      <c r="J54" s="118"/>
    </row>
    <row r="55" spans="1:10" ht="19">
      <c r="B55" s="497"/>
      <c r="C55" s="308"/>
      <c r="D55" s="561" t="s">
        <v>251</v>
      </c>
      <c r="E55" s="562"/>
      <c r="F55" s="562"/>
      <c r="G55" s="562"/>
      <c r="H55" s="562"/>
      <c r="I55" s="563"/>
      <c r="J55" s="118"/>
    </row>
    <row r="56" spans="1:10" ht="19">
      <c r="B56" s="497"/>
      <c r="C56" s="309"/>
      <c r="D56" s="310"/>
      <c r="E56" s="101" t="s">
        <v>187</v>
      </c>
      <c r="F56" s="379" t="s">
        <v>188</v>
      </c>
      <c r="G56" s="413"/>
      <c r="H56" s="99"/>
      <c r="I56" s="100"/>
      <c r="J56" s="118"/>
    </row>
    <row r="57" spans="1:10" ht="19">
      <c r="B57" s="497"/>
      <c r="C57" s="306"/>
      <c r="D57" s="311" t="s">
        <v>46</v>
      </c>
      <c r="E57" s="123" t="s">
        <v>47</v>
      </c>
      <c r="F57" s="368" t="s">
        <v>47</v>
      </c>
      <c r="G57" s="414" t="s">
        <v>48</v>
      </c>
      <c r="H57" s="613" t="s">
        <v>49</v>
      </c>
      <c r="I57" s="614"/>
      <c r="J57" s="118"/>
    </row>
    <row r="58" spans="1:10" ht="16">
      <c r="B58" s="497"/>
      <c r="C58" s="312">
        <v>1</v>
      </c>
      <c r="D58" s="24" t="s">
        <v>50</v>
      </c>
      <c r="E58" s="25"/>
      <c r="F58" s="380"/>
      <c r="G58" s="415"/>
      <c r="H58" s="611">
        <f>(E58*6*G58)+(G58*6*F58)</f>
        <v>0</v>
      </c>
      <c r="I58" s="612"/>
      <c r="J58" s="118"/>
    </row>
    <row r="59" spans="1:10" ht="16">
      <c r="B59" s="497"/>
      <c r="C59" s="306">
        <v>2</v>
      </c>
      <c r="D59" s="26" t="s">
        <v>51</v>
      </c>
      <c r="E59" s="27">
        <v>2</v>
      </c>
      <c r="F59" s="27">
        <v>3</v>
      </c>
      <c r="G59" s="416">
        <v>94000</v>
      </c>
      <c r="H59" s="615">
        <f>(E59*6*G59)+(G59*6*F59)</f>
        <v>2820000</v>
      </c>
      <c r="I59" s="616"/>
      <c r="J59" s="118"/>
    </row>
    <row r="60" spans="1:10" ht="20" thickBot="1">
      <c r="B60" s="497"/>
      <c r="C60" s="313"/>
      <c r="D60" s="314" t="s">
        <v>52</v>
      </c>
      <c r="E60" s="102">
        <f>+SUM(E58:E59)</f>
        <v>2</v>
      </c>
      <c r="F60" s="102">
        <f>+SUM(F58:F59)</f>
        <v>3</v>
      </c>
      <c r="G60" s="417"/>
      <c r="H60" s="580">
        <f>SUM(H58:I59)</f>
        <v>2820000</v>
      </c>
      <c r="I60" s="581"/>
      <c r="J60" s="118"/>
    </row>
    <row r="61" spans="1:10" s="496" customFormat="1" ht="26.25" customHeight="1" thickBot="1">
      <c r="A61" s="725"/>
      <c r="B61" s="713"/>
      <c r="C61" s="715"/>
      <c r="D61" s="738" t="s">
        <v>53</v>
      </c>
      <c r="E61" s="738"/>
      <c r="F61" s="738"/>
      <c r="G61" s="738"/>
      <c r="H61" s="114"/>
      <c r="I61" s="114"/>
      <c r="J61" s="118"/>
    </row>
    <row r="62" spans="1:10" ht="18" customHeight="1">
      <c r="B62" s="497"/>
      <c r="C62" s="619" t="s">
        <v>54</v>
      </c>
      <c r="D62" s="617"/>
      <c r="E62" s="617"/>
      <c r="F62" s="617"/>
      <c r="G62" s="617" t="s">
        <v>55</v>
      </c>
      <c r="H62" s="617"/>
      <c r="I62" s="596">
        <v>1.2</v>
      </c>
      <c r="J62" s="118"/>
    </row>
    <row r="63" spans="1:10" ht="18" customHeight="1">
      <c r="B63" s="497"/>
      <c r="C63" s="620"/>
      <c r="D63" s="618"/>
      <c r="E63" s="618"/>
      <c r="F63" s="618"/>
      <c r="G63" s="618"/>
      <c r="H63" s="618"/>
      <c r="I63" s="597"/>
      <c r="J63" s="118"/>
    </row>
    <row r="64" spans="1:10" ht="19">
      <c r="B64" s="497"/>
      <c r="C64" s="306"/>
      <c r="D64" s="311" t="s">
        <v>32</v>
      </c>
      <c r="E64" s="123" t="s">
        <v>56</v>
      </c>
      <c r="F64" s="368" t="s">
        <v>57</v>
      </c>
      <c r="G64" s="450" t="s">
        <v>58</v>
      </c>
      <c r="H64" s="123" t="s">
        <v>59</v>
      </c>
      <c r="I64" s="124" t="s">
        <v>60</v>
      </c>
      <c r="J64" s="118"/>
    </row>
    <row r="65" spans="1:14">
      <c r="B65" s="497"/>
      <c r="C65" s="315">
        <v>1</v>
      </c>
      <c r="D65" s="316" t="str">
        <f t="shared" ref="D65:F67" si="5">D46</f>
        <v>HAMMADDE VE İŞLETME MALZEMELERİ</v>
      </c>
      <c r="E65" s="256">
        <v>0</v>
      </c>
      <c r="F65" s="256">
        <v>0</v>
      </c>
      <c r="G65" s="256">
        <v>0</v>
      </c>
      <c r="H65" s="43">
        <f>G65*I62</f>
        <v>0</v>
      </c>
      <c r="I65" s="44">
        <f>H65*I62</f>
        <v>0</v>
      </c>
      <c r="J65" s="118"/>
    </row>
    <row r="66" spans="1:14">
      <c r="B66" s="497"/>
      <c r="C66" s="317">
        <v>2</v>
      </c>
      <c r="D66" s="316" t="str">
        <f t="shared" si="5"/>
        <v>KİRA</v>
      </c>
      <c r="E66" s="244">
        <f t="shared" si="5"/>
        <v>0</v>
      </c>
      <c r="F66" s="244">
        <f t="shared" si="5"/>
        <v>0</v>
      </c>
      <c r="G66" s="244">
        <v>0</v>
      </c>
      <c r="H66" s="38">
        <f t="shared" ref="F66:I70" si="6">G66*1.1</f>
        <v>0</v>
      </c>
      <c r="I66" s="45">
        <f t="shared" si="6"/>
        <v>0</v>
      </c>
      <c r="J66" s="118"/>
    </row>
    <row r="67" spans="1:14">
      <c r="B67" s="497"/>
      <c r="C67" s="317">
        <v>3</v>
      </c>
      <c r="D67" s="316" t="str">
        <f t="shared" si="5"/>
        <v>ELEKTRİK</v>
      </c>
      <c r="E67" s="244">
        <f t="shared" si="5"/>
        <v>6500000</v>
      </c>
      <c r="F67" s="381">
        <f t="shared" si="6"/>
        <v>7150000.0000000009</v>
      </c>
      <c r="G67" s="418">
        <f t="shared" si="6"/>
        <v>7865000.0000000019</v>
      </c>
      <c r="H67" s="38">
        <f t="shared" si="6"/>
        <v>8651500.0000000019</v>
      </c>
      <c r="I67" s="45">
        <f t="shared" si="6"/>
        <v>9516650.0000000037</v>
      </c>
      <c r="J67" s="118"/>
    </row>
    <row r="68" spans="1:14">
      <c r="B68" s="497"/>
      <c r="C68" s="317">
        <v>7</v>
      </c>
      <c r="D68" s="316" t="str">
        <f t="shared" ref="D68:E71" si="7">D49</f>
        <v>PERSONEL</v>
      </c>
      <c r="E68" s="244">
        <f t="shared" si="7"/>
        <v>2820000</v>
      </c>
      <c r="F68" s="381">
        <f t="shared" si="6"/>
        <v>3102000.0000000005</v>
      </c>
      <c r="G68" s="418">
        <f t="shared" si="6"/>
        <v>3412200.0000000009</v>
      </c>
      <c r="H68" s="38">
        <f t="shared" si="6"/>
        <v>3753420.0000000014</v>
      </c>
      <c r="I68" s="45">
        <f t="shared" si="6"/>
        <v>4128762.0000000019</v>
      </c>
      <c r="J68" s="118"/>
    </row>
    <row r="69" spans="1:14">
      <c r="B69" s="497"/>
      <c r="C69" s="317">
        <v>11</v>
      </c>
      <c r="D69" s="316" t="str">
        <f t="shared" si="7"/>
        <v>PAZARLAMA SATIŞ DAĞITIM GİDERLERİ</v>
      </c>
      <c r="E69" s="244">
        <f t="shared" si="7"/>
        <v>3156000</v>
      </c>
      <c r="F69" s="381">
        <f t="shared" si="6"/>
        <v>3471600.0000000005</v>
      </c>
      <c r="G69" s="418">
        <f t="shared" si="6"/>
        <v>3818760.0000000009</v>
      </c>
      <c r="H69" s="38">
        <f t="shared" si="6"/>
        <v>4200636.0000000009</v>
      </c>
      <c r="I69" s="45">
        <f t="shared" si="6"/>
        <v>4620699.6000000015</v>
      </c>
      <c r="J69" s="118"/>
    </row>
    <row r="70" spans="1:14">
      <c r="B70" s="497"/>
      <c r="C70" s="317">
        <v>12</v>
      </c>
      <c r="D70" s="316" t="str">
        <f t="shared" si="7"/>
        <v>AMBALAJ PAKETLEME GİDERLERİ</v>
      </c>
      <c r="E70" s="244">
        <f t="shared" si="7"/>
        <v>240000</v>
      </c>
      <c r="F70" s="381">
        <f t="shared" si="6"/>
        <v>264000</v>
      </c>
      <c r="G70" s="418">
        <f t="shared" si="6"/>
        <v>290400</v>
      </c>
      <c r="H70" s="38">
        <f t="shared" si="6"/>
        <v>319440</v>
      </c>
      <c r="I70" s="45">
        <f t="shared" si="6"/>
        <v>351384</v>
      </c>
      <c r="J70" s="118"/>
    </row>
    <row r="71" spans="1:14">
      <c r="B71" s="497"/>
      <c r="C71" s="317">
        <v>13</v>
      </c>
      <c r="D71" s="316" t="str">
        <f t="shared" si="7"/>
        <v>NAKLİYE GİDERİ</v>
      </c>
      <c r="E71" s="244">
        <f t="shared" si="7"/>
        <v>526000</v>
      </c>
      <c r="F71" s="381">
        <f>E71*1.1</f>
        <v>578600</v>
      </c>
      <c r="G71" s="418">
        <f>F71*1.1</f>
        <v>636460</v>
      </c>
      <c r="H71" s="38">
        <f>G71*1.1</f>
        <v>700106</v>
      </c>
      <c r="I71" s="45">
        <f>H71*1.1</f>
        <v>770116.60000000009</v>
      </c>
      <c r="J71" s="118"/>
    </row>
    <row r="72" spans="1:14" s="28" customFormat="1" ht="20" thickBot="1">
      <c r="A72" s="728"/>
      <c r="B72" s="507"/>
      <c r="C72" s="313"/>
      <c r="D72" s="314" t="s">
        <v>31</v>
      </c>
      <c r="E72" s="47">
        <f>SUM(E65:E71)</f>
        <v>13242000</v>
      </c>
      <c r="F72" s="382">
        <f>SUM(F65:F71)</f>
        <v>14566200.000000002</v>
      </c>
      <c r="G72" s="419">
        <f>SUM(G65:G71)</f>
        <v>16022820.000000004</v>
      </c>
      <c r="H72" s="47">
        <f>SUM(H65:H71)</f>
        <v>17625102.000000004</v>
      </c>
      <c r="I72" s="48">
        <f>SUM(I65:I71)</f>
        <v>19387612.20000001</v>
      </c>
      <c r="J72" s="118"/>
      <c r="K72" s="506"/>
      <c r="L72" s="506"/>
      <c r="M72" s="506"/>
      <c r="N72" s="506"/>
    </row>
    <row r="73" spans="1:14" ht="31" customHeight="1" thickBot="1">
      <c r="B73" s="713"/>
      <c r="C73" s="582" t="s">
        <v>61</v>
      </c>
      <c r="D73" s="582"/>
      <c r="E73" s="582"/>
      <c r="F73" s="582"/>
      <c r="G73" s="582"/>
      <c r="H73" s="114"/>
      <c r="I73" s="114"/>
      <c r="J73" s="118"/>
    </row>
    <row r="74" spans="1:14" ht="19">
      <c r="B74" s="497"/>
      <c r="C74" s="308"/>
      <c r="D74" s="318" t="s">
        <v>62</v>
      </c>
      <c r="E74" s="240"/>
      <c r="F74" s="383"/>
      <c r="G74" s="420"/>
      <c r="H74" s="114"/>
      <c r="I74" s="114"/>
      <c r="J74" s="118"/>
    </row>
    <row r="75" spans="1:14" ht="60">
      <c r="B75" s="497"/>
      <c r="C75" s="306"/>
      <c r="D75" s="29" t="s">
        <v>63</v>
      </c>
      <c r="E75" s="30" t="s">
        <v>64</v>
      </c>
      <c r="F75" s="384" t="s">
        <v>65</v>
      </c>
      <c r="G75" s="421" t="s">
        <v>66</v>
      </c>
      <c r="H75" s="114"/>
      <c r="I75" s="114"/>
      <c r="J75" s="118"/>
    </row>
    <row r="76" spans="1:14">
      <c r="B76" s="497"/>
      <c r="C76" s="315">
        <v>1</v>
      </c>
      <c r="D76" s="319" t="str">
        <f t="shared" ref="D76:E79" si="8">D46</f>
        <v>HAMMADDE VE İŞLETME MALZEMELERİ</v>
      </c>
      <c r="E76" s="256">
        <f t="shared" si="8"/>
        <v>0</v>
      </c>
      <c r="F76" s="593" t="s">
        <v>67</v>
      </c>
      <c r="G76" s="422">
        <f>E76/12</f>
        <v>0</v>
      </c>
      <c r="H76" s="114"/>
      <c r="I76" s="114"/>
      <c r="J76" s="118"/>
    </row>
    <row r="77" spans="1:14">
      <c r="B77" s="497"/>
      <c r="C77" s="317">
        <v>2</v>
      </c>
      <c r="D77" s="320" t="str">
        <f t="shared" si="8"/>
        <v>KİRA</v>
      </c>
      <c r="E77" s="244">
        <f t="shared" si="8"/>
        <v>0</v>
      </c>
      <c r="F77" s="594"/>
      <c r="G77" s="423">
        <f t="shared" ref="G77:G81" si="9">E77/12</f>
        <v>0</v>
      </c>
      <c r="H77" s="114"/>
      <c r="I77" s="114"/>
      <c r="J77" s="118"/>
    </row>
    <row r="78" spans="1:14">
      <c r="B78" s="497"/>
      <c r="C78" s="317">
        <v>3</v>
      </c>
      <c r="D78" s="320" t="str">
        <f t="shared" si="8"/>
        <v>ELEKTRİK</v>
      </c>
      <c r="E78" s="244">
        <f t="shared" si="8"/>
        <v>6500000</v>
      </c>
      <c r="F78" s="594"/>
      <c r="G78" s="423">
        <f t="shared" si="9"/>
        <v>541666.66666666663</v>
      </c>
      <c r="H78" s="114"/>
      <c r="I78" s="114"/>
      <c r="J78" s="118"/>
    </row>
    <row r="79" spans="1:14">
      <c r="B79" s="497"/>
      <c r="C79" s="317">
        <v>4</v>
      </c>
      <c r="D79" s="320" t="str">
        <f t="shared" si="8"/>
        <v>PERSONEL</v>
      </c>
      <c r="E79" s="244">
        <f t="shared" si="8"/>
        <v>2820000</v>
      </c>
      <c r="F79" s="594"/>
      <c r="G79" s="423">
        <f t="shared" si="9"/>
        <v>235000</v>
      </c>
      <c r="H79" s="114"/>
      <c r="I79" s="114"/>
      <c r="J79" s="118"/>
    </row>
    <row r="80" spans="1:14" ht="14" customHeight="1">
      <c r="B80" s="497"/>
      <c r="C80" s="317">
        <v>5</v>
      </c>
      <c r="D80" s="320" t="str">
        <f t="shared" ref="D80:D82" si="10">D50</f>
        <v>PAZARLAMA SATIŞ DAĞITIM GİDERLERİ</v>
      </c>
      <c r="E80" s="244">
        <f>E50</f>
        <v>3156000</v>
      </c>
      <c r="F80" s="594"/>
      <c r="G80" s="423">
        <f t="shared" si="9"/>
        <v>263000</v>
      </c>
      <c r="H80" s="114"/>
      <c r="I80" s="114"/>
      <c r="J80" s="118"/>
    </row>
    <row r="81" spans="1:14" ht="14" customHeight="1">
      <c r="B81" s="497"/>
      <c r="C81" s="317">
        <v>6</v>
      </c>
      <c r="D81" s="320" t="str">
        <f t="shared" si="10"/>
        <v>AMBALAJ PAKETLEME GİDERLERİ</v>
      </c>
      <c r="E81" s="244">
        <f>E51</f>
        <v>240000</v>
      </c>
      <c r="F81" s="594"/>
      <c r="G81" s="423">
        <f t="shared" si="9"/>
        <v>20000</v>
      </c>
      <c r="H81" s="114"/>
      <c r="I81" s="114"/>
      <c r="J81" s="118"/>
    </row>
    <row r="82" spans="1:14" ht="14" customHeight="1">
      <c r="B82" s="497"/>
      <c r="C82" s="306">
        <v>7</v>
      </c>
      <c r="D82" s="320" t="str">
        <f t="shared" si="10"/>
        <v>NAKLİYE GİDERİ</v>
      </c>
      <c r="E82" s="257">
        <f>E52</f>
        <v>526000</v>
      </c>
      <c r="F82" s="594"/>
      <c r="G82" s="424">
        <f>E82/12</f>
        <v>43833.333333333336</v>
      </c>
      <c r="H82" s="114"/>
      <c r="I82" s="114"/>
      <c r="J82" s="118"/>
    </row>
    <row r="83" spans="1:14" ht="20" thickBot="1">
      <c r="B83" s="497"/>
      <c r="C83" s="313"/>
      <c r="D83" s="321" t="s">
        <v>68</v>
      </c>
      <c r="E83" s="258">
        <f>SUM(E76:E82)</f>
        <v>13242000</v>
      </c>
      <c r="F83" s="595"/>
      <c r="G83" s="425">
        <f>SUM(G76:G82)</f>
        <v>1103499.9999999998</v>
      </c>
      <c r="H83" s="114"/>
      <c r="I83" s="114"/>
      <c r="J83" s="118"/>
    </row>
    <row r="84" spans="1:14" s="496" customFormat="1" ht="30" customHeight="1" thickBot="1">
      <c r="A84" s="725"/>
      <c r="B84" s="713"/>
      <c r="C84" s="715"/>
      <c r="D84" s="738" t="s">
        <v>69</v>
      </c>
      <c r="E84" s="738"/>
      <c r="F84" s="372"/>
      <c r="G84" s="406"/>
      <c r="H84" s="114"/>
      <c r="I84" s="114"/>
      <c r="J84" s="118"/>
    </row>
    <row r="85" spans="1:14" ht="19">
      <c r="B85" s="497"/>
      <c r="C85" s="308"/>
      <c r="D85" s="589" t="s">
        <v>70</v>
      </c>
      <c r="E85" s="590"/>
      <c r="F85" s="372"/>
      <c r="G85" s="406"/>
      <c r="H85" s="114"/>
      <c r="I85" s="114"/>
      <c r="J85" s="118"/>
    </row>
    <row r="86" spans="1:14" ht="18.75" customHeight="1">
      <c r="B86" s="497"/>
      <c r="C86" s="306"/>
      <c r="D86" s="591" t="s">
        <v>2</v>
      </c>
      <c r="E86" s="592"/>
      <c r="F86" s="372"/>
      <c r="G86" s="406"/>
      <c r="H86" s="114"/>
      <c r="I86" s="114"/>
      <c r="J86" s="118"/>
    </row>
    <row r="87" spans="1:14">
      <c r="B87" s="497"/>
      <c r="C87" s="315">
        <v>1</v>
      </c>
      <c r="D87" s="322" t="s">
        <v>71</v>
      </c>
      <c r="E87" s="259">
        <f>E19</f>
        <v>46621898.662600003</v>
      </c>
      <c r="F87" s="372"/>
      <c r="G87" s="406"/>
      <c r="H87" s="114"/>
      <c r="I87" s="114"/>
      <c r="J87" s="118"/>
    </row>
    <row r="88" spans="1:14">
      <c r="B88" s="497"/>
      <c r="C88" s="317">
        <v>2</v>
      </c>
      <c r="D88" s="323" t="s">
        <v>72</v>
      </c>
      <c r="E88" s="260">
        <f>E83</f>
        <v>13242000</v>
      </c>
      <c r="F88" s="372"/>
      <c r="G88" s="406"/>
      <c r="H88" s="114"/>
      <c r="I88" s="114"/>
      <c r="J88" s="118"/>
    </row>
    <row r="89" spans="1:14" ht="20" thickBot="1">
      <c r="B89" s="497"/>
      <c r="C89" s="324"/>
      <c r="D89" s="300" t="s">
        <v>73</v>
      </c>
      <c r="E89" s="261">
        <f>SUM(E87:E88)</f>
        <v>59863898.662600003</v>
      </c>
      <c r="F89" s="372"/>
      <c r="G89" s="406"/>
      <c r="H89" s="114"/>
      <c r="I89" s="114"/>
      <c r="J89" s="118"/>
    </row>
    <row r="90" spans="1:14" s="496" customFormat="1" ht="36" customHeight="1">
      <c r="A90" s="725"/>
      <c r="B90" s="713"/>
      <c r="C90" s="715"/>
      <c r="D90" s="732" t="s">
        <v>195</v>
      </c>
      <c r="E90" s="733"/>
      <c r="F90" s="734"/>
      <c r="G90" s="735"/>
      <c r="H90" s="732"/>
      <c r="I90" s="732"/>
      <c r="J90" s="736"/>
    </row>
    <row r="91" spans="1:14" s="19" customFormat="1" ht="26" customHeight="1">
      <c r="A91" s="727"/>
      <c r="B91" s="712"/>
      <c r="C91" s="303"/>
      <c r="D91" s="31" t="s">
        <v>192</v>
      </c>
      <c r="E91" s="262"/>
      <c r="F91" s="385"/>
      <c r="G91" s="426"/>
      <c r="J91" s="119"/>
      <c r="K91" s="496"/>
      <c r="L91" s="496"/>
      <c r="M91" s="496"/>
      <c r="N91" s="496"/>
    </row>
    <row r="92" spans="1:14" s="496" customFormat="1" ht="25" thickBot="1">
      <c r="A92" s="725"/>
      <c r="B92" s="713"/>
      <c r="C92" s="715"/>
      <c r="D92" s="538"/>
      <c r="E92" s="737" t="s">
        <v>74</v>
      </c>
      <c r="F92" s="737"/>
      <c r="G92" s="737"/>
      <c r="H92" s="737"/>
      <c r="I92" s="737"/>
      <c r="J92" s="118"/>
    </row>
    <row r="93" spans="1:14" s="28" customFormat="1" ht="22" customHeight="1">
      <c r="A93" s="728"/>
      <c r="B93" s="507"/>
      <c r="C93" s="325"/>
      <c r="D93" s="326" t="s">
        <v>75</v>
      </c>
      <c r="E93" s="32" t="s">
        <v>76</v>
      </c>
      <c r="F93" s="386" t="s">
        <v>77</v>
      </c>
      <c r="G93" s="454" t="s">
        <v>78</v>
      </c>
      <c r="H93" s="32" t="s">
        <v>79</v>
      </c>
      <c r="I93" s="33" t="s">
        <v>80</v>
      </c>
      <c r="J93" s="118"/>
      <c r="K93" s="496"/>
      <c r="L93" s="496"/>
      <c r="M93" s="496"/>
      <c r="N93" s="496"/>
    </row>
    <row r="94" spans="1:14">
      <c r="B94" s="497"/>
      <c r="C94" s="327">
        <v>1</v>
      </c>
      <c r="D94" s="328" t="s">
        <v>81</v>
      </c>
      <c r="E94" s="455">
        <v>0</v>
      </c>
      <c r="F94" s="455">
        <v>0</v>
      </c>
      <c r="G94" s="455">
        <v>0</v>
      </c>
      <c r="H94" s="456">
        <v>0</v>
      </c>
      <c r="I94" s="457">
        <v>0</v>
      </c>
      <c r="J94" s="118"/>
    </row>
    <row r="95" spans="1:14">
      <c r="B95" s="497"/>
      <c r="C95" s="329">
        <v>2</v>
      </c>
      <c r="D95" s="330" t="s">
        <v>82</v>
      </c>
      <c r="E95" s="458">
        <f>E89</f>
        <v>59863898.662600003</v>
      </c>
      <c r="F95" s="455">
        <v>0</v>
      </c>
      <c r="G95" s="455">
        <v>0</v>
      </c>
      <c r="H95" s="459">
        <v>0</v>
      </c>
      <c r="I95" s="460">
        <v>0</v>
      </c>
      <c r="J95" s="118"/>
    </row>
    <row r="96" spans="1:14">
      <c r="B96" s="497"/>
      <c r="C96" s="329">
        <v>3</v>
      </c>
      <c r="D96" s="330" t="s">
        <v>83</v>
      </c>
      <c r="E96" s="458">
        <f>'Üretim-Satış Hedefleri'!E77</f>
        <v>91958000</v>
      </c>
      <c r="F96" s="461">
        <f>'Üretim-Satış Hedefleri'!F77</f>
        <v>111673800</v>
      </c>
      <c r="G96" s="462">
        <f>'Üretim-Satış Hedefleri'!G77</f>
        <v>135465180</v>
      </c>
      <c r="H96" s="463">
        <f>'Üretim-Satış Hedefleri'!H77</f>
        <v>164160498</v>
      </c>
      <c r="I96" s="464">
        <f>'Üretim-Satış Hedefleri'!I77</f>
        <v>198755107.79999998</v>
      </c>
      <c r="J96" s="118"/>
    </row>
    <row r="97" spans="1:14">
      <c r="B97" s="497"/>
      <c r="C97" s="329">
        <v>4</v>
      </c>
      <c r="D97" s="331" t="s">
        <v>84</v>
      </c>
      <c r="E97" s="465">
        <v>0</v>
      </c>
      <c r="F97" s="461">
        <f>E108</f>
        <v>73481403.47172001</v>
      </c>
      <c r="G97" s="462">
        <f>F108</f>
        <v>162341130.94344002</v>
      </c>
      <c r="H97" s="463">
        <f>G108</f>
        <v>269758134.81516004</v>
      </c>
      <c r="I97" s="464">
        <f>H108</f>
        <v>399557486.72688001</v>
      </c>
      <c r="J97" s="118"/>
    </row>
    <row r="98" spans="1:14">
      <c r="B98" s="497"/>
      <c r="C98" s="329">
        <v>5</v>
      </c>
      <c r="D98" s="331" t="s">
        <v>85</v>
      </c>
      <c r="E98" s="466">
        <v>0</v>
      </c>
      <c r="F98" s="466">
        <v>0</v>
      </c>
      <c r="G98" s="466">
        <v>0</v>
      </c>
      <c r="H98" s="467">
        <v>0</v>
      </c>
      <c r="I98" s="468">
        <v>0</v>
      </c>
      <c r="J98" s="118"/>
    </row>
    <row r="99" spans="1:14">
      <c r="B99" s="497"/>
      <c r="C99" s="332">
        <v>6</v>
      </c>
      <c r="D99" s="333" t="s">
        <v>86</v>
      </c>
      <c r="E99" s="469">
        <f>E94+E95+E96+E97</f>
        <v>151821898.66260001</v>
      </c>
      <c r="F99" s="470">
        <f>F94+F95+F96+F97</f>
        <v>185155203.47172001</v>
      </c>
      <c r="G99" s="471">
        <f>G94+G95+G96+G97</f>
        <v>297806310.94344002</v>
      </c>
      <c r="H99" s="472">
        <f>H94+H95+H96+H97</f>
        <v>433918632.81516004</v>
      </c>
      <c r="I99" s="473">
        <f>I94+I95+I96+I97</f>
        <v>598312594.52688003</v>
      </c>
      <c r="J99" s="118"/>
    </row>
    <row r="100" spans="1:14" s="28" customFormat="1" ht="19">
      <c r="A100" s="728"/>
      <c r="B100" s="507"/>
      <c r="C100" s="334"/>
      <c r="D100" s="335" t="s">
        <v>87</v>
      </c>
      <c r="E100" s="474" t="s">
        <v>76</v>
      </c>
      <c r="F100" s="475" t="s">
        <v>77</v>
      </c>
      <c r="G100" s="476" t="s">
        <v>78</v>
      </c>
      <c r="H100" s="474" t="s">
        <v>79</v>
      </c>
      <c r="I100" s="477" t="s">
        <v>80</v>
      </c>
      <c r="J100" s="118"/>
      <c r="K100" s="496"/>
      <c r="L100" s="496"/>
      <c r="M100" s="496"/>
      <c r="N100" s="496"/>
    </row>
    <row r="101" spans="1:14">
      <c r="B101" s="497"/>
      <c r="C101" s="327">
        <v>7</v>
      </c>
      <c r="D101" s="336" t="s">
        <v>88</v>
      </c>
      <c r="E101" s="478">
        <f>E87</f>
        <v>46621898.662600003</v>
      </c>
      <c r="F101" s="456">
        <v>0</v>
      </c>
      <c r="G101" s="456">
        <v>0</v>
      </c>
      <c r="H101" s="456">
        <v>0</v>
      </c>
      <c r="I101" s="457">
        <v>0</v>
      </c>
      <c r="J101" s="118"/>
    </row>
    <row r="102" spans="1:14">
      <c r="B102" s="497"/>
      <c r="C102" s="329">
        <v>8</v>
      </c>
      <c r="D102" s="330" t="s">
        <v>72</v>
      </c>
      <c r="E102" s="458">
        <f>E83</f>
        <v>13242000</v>
      </c>
      <c r="F102" s="459">
        <v>0</v>
      </c>
      <c r="G102" s="459">
        <v>0</v>
      </c>
      <c r="H102" s="459">
        <v>0</v>
      </c>
      <c r="I102" s="460">
        <v>0</v>
      </c>
      <c r="J102" s="118"/>
    </row>
    <row r="103" spans="1:14" ht="17.25" customHeight="1">
      <c r="B103" s="497"/>
      <c r="C103" s="329">
        <v>9</v>
      </c>
      <c r="D103" s="330" t="s">
        <v>89</v>
      </c>
      <c r="E103" s="466">
        <v>0</v>
      </c>
      <c r="F103" s="466">
        <v>0</v>
      </c>
      <c r="G103" s="466">
        <v>0</v>
      </c>
      <c r="H103" s="467"/>
      <c r="I103" s="468"/>
      <c r="J103" s="118"/>
    </row>
    <row r="104" spans="1:14">
      <c r="B104" s="497"/>
      <c r="C104" s="329">
        <v>10</v>
      </c>
      <c r="D104" s="330" t="s">
        <v>90</v>
      </c>
      <c r="E104" s="466">
        <v>0</v>
      </c>
      <c r="F104" s="466">
        <v>0</v>
      </c>
      <c r="G104" s="466">
        <v>0</v>
      </c>
      <c r="H104" s="467"/>
      <c r="I104" s="468"/>
      <c r="J104" s="118"/>
    </row>
    <row r="105" spans="1:14">
      <c r="B105" s="497"/>
      <c r="C105" s="329">
        <v>11</v>
      </c>
      <c r="D105" s="337" t="s">
        <v>91</v>
      </c>
      <c r="E105" s="458">
        <f>E103+E104</f>
        <v>0</v>
      </c>
      <c r="F105" s="458">
        <f t="shared" ref="F105" si="11">F103+F104</f>
        <v>0</v>
      </c>
      <c r="G105" s="458">
        <f>G103+G104</f>
        <v>0</v>
      </c>
      <c r="H105" s="463"/>
      <c r="I105" s="464"/>
      <c r="J105" s="118"/>
    </row>
    <row r="106" spans="1:14">
      <c r="B106" s="497"/>
      <c r="C106" s="338">
        <v>12</v>
      </c>
      <c r="D106" s="339" t="s">
        <v>92</v>
      </c>
      <c r="E106" s="479">
        <f>E120</f>
        <v>18476596.528279997</v>
      </c>
      <c r="F106" s="480">
        <f>F120</f>
        <v>22814072.528279997</v>
      </c>
      <c r="G106" s="481">
        <f>G120</f>
        <v>28048176.128279999</v>
      </c>
      <c r="H106" s="482">
        <f>H120</f>
        <v>34361146.08828</v>
      </c>
      <c r="I106" s="483">
        <f>I120</f>
        <v>41971960.244279996</v>
      </c>
      <c r="J106" s="118"/>
    </row>
    <row r="107" spans="1:14" s="28" customFormat="1" ht="20">
      <c r="A107" s="728"/>
      <c r="B107" s="507"/>
      <c r="C107" s="327"/>
      <c r="D107" s="340" t="s">
        <v>93</v>
      </c>
      <c r="E107" s="484">
        <f>E101+E102+E105+E106</f>
        <v>78340495.190880001</v>
      </c>
      <c r="F107" s="485">
        <f>F101+F102+F105+F106</f>
        <v>22814072.528279997</v>
      </c>
      <c r="G107" s="486">
        <f>G101+G102+G105+G106</f>
        <v>28048176.128279999</v>
      </c>
      <c r="H107" s="487">
        <f>H101+H102+H105+H106</f>
        <v>34361146.08828</v>
      </c>
      <c r="I107" s="488">
        <f>I101+I102+I105+I106</f>
        <v>41971960.244279996</v>
      </c>
      <c r="J107" s="118"/>
      <c r="K107" s="496"/>
      <c r="L107" s="496"/>
      <c r="M107" s="496"/>
      <c r="N107" s="496"/>
    </row>
    <row r="108" spans="1:14" s="28" customFormat="1" ht="20" thickBot="1">
      <c r="A108" s="728"/>
      <c r="B108" s="507"/>
      <c r="C108" s="341"/>
      <c r="D108" s="342" t="s">
        <v>94</v>
      </c>
      <c r="E108" s="489">
        <f>E99-E107</f>
        <v>73481403.47172001</v>
      </c>
      <c r="F108" s="490">
        <f>F99-F107</f>
        <v>162341130.94344002</v>
      </c>
      <c r="G108" s="491">
        <f>G99-G107</f>
        <v>269758134.81516004</v>
      </c>
      <c r="H108" s="492">
        <f>H99-H107</f>
        <v>399557486.72688001</v>
      </c>
      <c r="I108" s="493">
        <f>I99-I107</f>
        <v>556340634.28260005</v>
      </c>
      <c r="J108" s="118"/>
      <c r="K108" s="496"/>
      <c r="L108" s="496"/>
      <c r="M108" s="496"/>
      <c r="N108" s="496"/>
    </row>
    <row r="109" spans="1:14" ht="24" customHeight="1">
      <c r="B109" s="713"/>
      <c r="C109" s="711"/>
      <c r="D109" s="302"/>
      <c r="E109" s="250"/>
      <c r="F109" s="372"/>
      <c r="G109" s="406"/>
      <c r="H109" s="114"/>
      <c r="I109" s="114"/>
      <c r="J109" s="118"/>
    </row>
    <row r="110" spans="1:14" s="19" customFormat="1" ht="27" customHeight="1">
      <c r="A110" s="727"/>
      <c r="B110" s="712"/>
      <c r="C110" s="303"/>
      <c r="D110" s="31" t="s">
        <v>193</v>
      </c>
      <c r="E110" s="263"/>
      <c r="F110" s="387"/>
      <c r="G110" s="427"/>
      <c r="H110" s="34"/>
      <c r="I110" s="34"/>
      <c r="J110" s="120"/>
      <c r="K110" s="496"/>
      <c r="L110" s="496"/>
      <c r="M110" s="496"/>
      <c r="N110" s="496"/>
    </row>
    <row r="111" spans="1:14" s="496" customFormat="1" ht="27" customHeight="1" thickBot="1">
      <c r="A111" s="725"/>
      <c r="B111" s="713"/>
      <c r="C111" s="715"/>
      <c r="D111" s="739" t="s">
        <v>95</v>
      </c>
      <c r="E111" s="739"/>
      <c r="F111" s="739"/>
      <c r="G111" s="739"/>
      <c r="H111" s="739"/>
      <c r="I111" s="740"/>
      <c r="J111" s="118"/>
    </row>
    <row r="112" spans="1:14" ht="21.75" customHeight="1">
      <c r="B112" s="497"/>
      <c r="C112" s="343"/>
      <c r="D112" s="588" t="s">
        <v>96</v>
      </c>
      <c r="E112" s="589"/>
      <c r="F112" s="589"/>
      <c r="G112" s="589"/>
      <c r="H112" s="589"/>
      <c r="I112" s="590"/>
      <c r="J112" s="118"/>
    </row>
    <row r="113" spans="2:10" ht="21.75" customHeight="1">
      <c r="B113" s="497"/>
      <c r="C113" s="344"/>
      <c r="D113" s="345"/>
      <c r="E113" s="586" t="s">
        <v>74</v>
      </c>
      <c r="F113" s="586"/>
      <c r="G113" s="586"/>
      <c r="H113" s="586"/>
      <c r="I113" s="587"/>
      <c r="J113" s="118"/>
    </row>
    <row r="114" spans="2:10" ht="21.75" customHeight="1">
      <c r="B114" s="497"/>
      <c r="C114" s="346"/>
      <c r="D114" s="347"/>
      <c r="E114" s="123">
        <v>1</v>
      </c>
      <c r="F114" s="123">
        <v>2</v>
      </c>
      <c r="G114" s="123">
        <v>3</v>
      </c>
      <c r="H114" s="123">
        <v>4</v>
      </c>
      <c r="I114" s="124">
        <v>5</v>
      </c>
      <c r="J114" s="118"/>
    </row>
    <row r="115" spans="2:10">
      <c r="B115" s="497"/>
      <c r="C115" s="348"/>
      <c r="D115" s="49" t="s">
        <v>97</v>
      </c>
      <c r="E115" s="264">
        <f>'Üretim-Satış Hedefleri'!E75</f>
        <v>105200000</v>
      </c>
      <c r="F115" s="388">
        <f>'Üretim-Satış Hedefleri'!F75</f>
        <v>126240000</v>
      </c>
      <c r="G115" s="428">
        <f>'Üretim-Satış Hedefleri'!G75</f>
        <v>151488000</v>
      </c>
      <c r="H115" s="56">
        <f>'Üretim-Satış Hedefleri'!H75</f>
        <v>181785600</v>
      </c>
      <c r="I115" s="57">
        <f>'Üretim-Satış Hedefleri'!I75</f>
        <v>218142720</v>
      </c>
      <c r="J115" s="118"/>
    </row>
    <row r="116" spans="2:10">
      <c r="B116" s="497"/>
      <c r="C116" s="344"/>
      <c r="D116" s="50" t="s">
        <v>98</v>
      </c>
      <c r="E116" s="265">
        <f>E72</f>
        <v>13242000</v>
      </c>
      <c r="F116" s="389">
        <f>F72</f>
        <v>14566200.000000002</v>
      </c>
      <c r="G116" s="429">
        <f>G72</f>
        <v>16022820.000000004</v>
      </c>
      <c r="H116" s="58">
        <f>H72</f>
        <v>17625102.000000004</v>
      </c>
      <c r="I116" s="59">
        <f>I72</f>
        <v>19387612.20000001</v>
      </c>
      <c r="J116" s="118"/>
    </row>
    <row r="117" spans="2:10">
      <c r="B117" s="497"/>
      <c r="C117" s="344"/>
      <c r="D117" s="50" t="s">
        <v>99</v>
      </c>
      <c r="E117" s="265">
        <f>E9/5</f>
        <v>7973470.3260000004</v>
      </c>
      <c r="F117" s="389">
        <f>E117</f>
        <v>7973470.3260000004</v>
      </c>
      <c r="G117" s="429">
        <f>F117</f>
        <v>7973470.3260000004</v>
      </c>
      <c r="H117" s="58">
        <f>G117</f>
        <v>7973470.3260000004</v>
      </c>
      <c r="I117" s="59">
        <f>H117</f>
        <v>7973470.3260000004</v>
      </c>
      <c r="J117" s="118"/>
    </row>
    <row r="118" spans="2:10">
      <c r="B118" s="497"/>
      <c r="C118" s="344"/>
      <c r="D118" s="50" t="s">
        <v>274</v>
      </c>
      <c r="E118" s="266">
        <v>0</v>
      </c>
      <c r="F118" s="266">
        <v>0</v>
      </c>
      <c r="G118" s="266">
        <v>0</v>
      </c>
      <c r="H118" s="60">
        <f>G130/2</f>
        <v>0</v>
      </c>
      <c r="I118" s="61">
        <f>G130/2</f>
        <v>0</v>
      </c>
      <c r="J118" s="118"/>
    </row>
    <row r="119" spans="2:10">
      <c r="B119" s="497"/>
      <c r="C119" s="344"/>
      <c r="D119" s="50" t="s">
        <v>100</v>
      </c>
      <c r="E119" s="267">
        <f>E115-E116-E117-E118</f>
        <v>83984529.673999995</v>
      </c>
      <c r="F119" s="390">
        <f>F115-F116-F117-F118</f>
        <v>103700329.67399999</v>
      </c>
      <c r="G119" s="430">
        <f>G115-G116-G117-G118</f>
        <v>127491709.67399999</v>
      </c>
      <c r="H119" s="62">
        <f>H115-H116-H117-H118</f>
        <v>156187027.67399999</v>
      </c>
      <c r="I119" s="63">
        <f>I115-I116-I117-I118</f>
        <v>190781637.47399998</v>
      </c>
      <c r="J119" s="118"/>
    </row>
    <row r="120" spans="2:10">
      <c r="B120" s="497"/>
      <c r="C120" s="344"/>
      <c r="D120" s="50" t="s">
        <v>92</v>
      </c>
      <c r="E120" s="265">
        <f>E119*0.22</f>
        <v>18476596.528279997</v>
      </c>
      <c r="F120" s="389">
        <f>F119*0.22</f>
        <v>22814072.528279997</v>
      </c>
      <c r="G120" s="429">
        <f>G119*0.22</f>
        <v>28048176.128279999</v>
      </c>
      <c r="H120" s="58">
        <f>H119*0.22</f>
        <v>34361146.08828</v>
      </c>
      <c r="I120" s="59">
        <f>I119*0.22</f>
        <v>41971960.244279996</v>
      </c>
      <c r="J120" s="118"/>
    </row>
    <row r="121" spans="2:10">
      <c r="B121" s="497"/>
      <c r="C121" s="344"/>
      <c r="D121" s="51" t="s">
        <v>101</v>
      </c>
      <c r="E121" s="268">
        <f>E119-E120</f>
        <v>65507933.145719998</v>
      </c>
      <c r="F121" s="391">
        <f>F119-F120</f>
        <v>80886257.145720005</v>
      </c>
      <c r="G121" s="431">
        <f>G119-G120</f>
        <v>99443533.545719996</v>
      </c>
      <c r="H121" s="64">
        <f>H119-H120</f>
        <v>121825881.58572</v>
      </c>
      <c r="I121" s="65">
        <f>I119-I120</f>
        <v>148809677.22972</v>
      </c>
      <c r="J121" s="118"/>
    </row>
    <row r="122" spans="2:10">
      <c r="B122" s="497"/>
      <c r="C122" s="344"/>
      <c r="D122" s="49" t="s">
        <v>99</v>
      </c>
      <c r="E122" s="264">
        <f>E117</f>
        <v>7973470.3260000004</v>
      </c>
      <c r="F122" s="388">
        <f>F117</f>
        <v>7973470.3260000004</v>
      </c>
      <c r="G122" s="428">
        <f>G117</f>
        <v>7973470.3260000004</v>
      </c>
      <c r="H122" s="56">
        <f>H117</f>
        <v>7973470.3260000004</v>
      </c>
      <c r="I122" s="57">
        <f>I117</f>
        <v>7973470.3260000004</v>
      </c>
      <c r="J122" s="118"/>
    </row>
    <row r="123" spans="2:10">
      <c r="B123" s="497"/>
      <c r="C123" s="349"/>
      <c r="D123" s="52" t="s">
        <v>71</v>
      </c>
      <c r="E123" s="269">
        <f>E87</f>
        <v>46621898.662600003</v>
      </c>
      <c r="F123" s="392">
        <v>0</v>
      </c>
      <c r="G123" s="432">
        <v>0</v>
      </c>
      <c r="H123" s="66">
        <v>0</v>
      </c>
      <c r="I123" s="67">
        <v>0</v>
      </c>
      <c r="J123" s="118"/>
    </row>
    <row r="124" spans="2:10" ht="20" thickBot="1">
      <c r="B124" s="497"/>
      <c r="C124" s="350"/>
      <c r="D124" s="53" t="s">
        <v>102</v>
      </c>
      <c r="E124" s="270">
        <f>E121+E122-E123</f>
        <v>26859504.809119992</v>
      </c>
      <c r="F124" s="393">
        <f>F121+F122-F123</f>
        <v>88859727.47172001</v>
      </c>
      <c r="G124" s="433">
        <f>G121+G122-G123</f>
        <v>107417003.87172</v>
      </c>
      <c r="H124" s="68">
        <f>H121+H122-H123</f>
        <v>129799351.91172001</v>
      </c>
      <c r="I124" s="69">
        <f>I121+I122-I123</f>
        <v>156783147.55572</v>
      </c>
      <c r="J124" s="118"/>
    </row>
    <row r="125" spans="2:10" ht="20" thickBot="1">
      <c r="B125" s="497"/>
      <c r="C125" s="350"/>
      <c r="D125" s="53" t="s">
        <v>239</v>
      </c>
      <c r="E125" s="270">
        <f>E124</f>
        <v>26859504.809119992</v>
      </c>
      <c r="F125" s="393">
        <f>+E124+F124</f>
        <v>115719232.28084001</v>
      </c>
      <c r="G125" s="433">
        <f>+F125+G124</f>
        <v>223136236.15256</v>
      </c>
      <c r="H125" s="68">
        <f t="shared" ref="H125:I125" si="12">+G125+H124</f>
        <v>352935588.06428003</v>
      </c>
      <c r="I125" s="236">
        <f t="shared" si="12"/>
        <v>509718735.62</v>
      </c>
      <c r="J125" s="118"/>
    </row>
    <row r="126" spans="2:10" ht="19.5" customHeight="1" thickBot="1">
      <c r="B126" s="713"/>
      <c r="C126" s="711"/>
      <c r="D126" s="302"/>
      <c r="E126" s="250"/>
      <c r="F126" s="530"/>
      <c r="G126" s="531"/>
      <c r="H126" s="532"/>
      <c r="I126" s="532"/>
      <c r="J126" s="533"/>
    </row>
    <row r="127" spans="2:10" ht="18" customHeight="1">
      <c r="B127" s="497"/>
      <c r="C127" s="351"/>
      <c r="D127" s="352" t="s">
        <v>103</v>
      </c>
      <c r="E127" s="271"/>
      <c r="F127" s="534"/>
      <c r="G127" s="534"/>
      <c r="H127" s="534"/>
      <c r="I127" s="534"/>
      <c r="J127" s="533"/>
    </row>
    <row r="128" spans="2:10" ht="18" customHeight="1">
      <c r="B128" s="497"/>
      <c r="C128" s="327"/>
      <c r="D128" s="353" t="s">
        <v>104</v>
      </c>
      <c r="E128" s="44">
        <f>E89</f>
        <v>59863898.662600003</v>
      </c>
      <c r="F128" s="534"/>
      <c r="G128" s="534"/>
      <c r="H128" s="534"/>
      <c r="I128" s="534"/>
      <c r="J128" s="533"/>
    </row>
    <row r="129" spans="1:10" ht="15" customHeight="1">
      <c r="B129" s="497"/>
      <c r="C129" s="327"/>
      <c r="D129" s="353" t="s">
        <v>105</v>
      </c>
      <c r="E129" s="44">
        <f>H53</f>
        <v>5416200</v>
      </c>
      <c r="F129" s="534"/>
      <c r="G129" s="534"/>
      <c r="H129" s="534"/>
      <c r="I129" s="534"/>
      <c r="J129" s="533"/>
    </row>
    <row r="130" spans="1:10" ht="15" customHeight="1">
      <c r="B130" s="497"/>
      <c r="C130" s="329"/>
      <c r="D130" s="354" t="s">
        <v>106</v>
      </c>
      <c r="E130" s="44">
        <f>I53</f>
        <v>7825800</v>
      </c>
      <c r="F130" s="534"/>
      <c r="G130" s="534"/>
      <c r="H130" s="534"/>
      <c r="I130" s="534"/>
      <c r="J130" s="533"/>
    </row>
    <row r="131" spans="1:10" ht="15" customHeight="1">
      <c r="B131" s="497"/>
      <c r="C131" s="329"/>
      <c r="D131" s="354" t="s">
        <v>261</v>
      </c>
      <c r="E131" s="523">
        <f>(E129+E117)</f>
        <v>13389670.326000001</v>
      </c>
      <c r="F131" s="534"/>
      <c r="G131" s="535"/>
      <c r="H131" s="536"/>
      <c r="I131" s="536"/>
      <c r="J131" s="533"/>
    </row>
    <row r="132" spans="1:10" ht="15" customHeight="1">
      <c r="B132" s="497"/>
      <c r="C132" s="329"/>
      <c r="D132" s="354" t="s">
        <v>262</v>
      </c>
      <c r="E132" s="523">
        <f>E130/'Üretim-Satış Hedefleri'!Q16</f>
        <v>19564.5</v>
      </c>
      <c r="F132" s="530"/>
      <c r="G132" s="531"/>
      <c r="H132" s="532"/>
      <c r="I132" s="532"/>
      <c r="J132" s="533"/>
    </row>
    <row r="133" spans="1:10" ht="15" customHeight="1">
      <c r="B133" s="497"/>
      <c r="C133" s="329"/>
      <c r="D133" s="354" t="s">
        <v>107</v>
      </c>
      <c r="E133" s="45">
        <f>'Üretim-Satış Hedefleri'!F90</f>
        <v>105200000</v>
      </c>
      <c r="F133" s="372"/>
      <c r="G133" s="406"/>
      <c r="H133" s="114"/>
      <c r="I133" s="114"/>
      <c r="J133" s="118"/>
    </row>
    <row r="134" spans="1:10" ht="15" customHeight="1">
      <c r="B134" s="497"/>
      <c r="C134" s="329"/>
      <c r="D134" s="354" t="s">
        <v>108</v>
      </c>
      <c r="E134" s="45">
        <f>'Üretim-Satış Hedefleri'!H90</f>
        <v>263000</v>
      </c>
      <c r="F134" s="372"/>
      <c r="G134" s="406"/>
      <c r="H134" s="114"/>
      <c r="I134" s="114"/>
      <c r="J134" s="118"/>
    </row>
    <row r="135" spans="1:10" ht="15" customHeight="1">
      <c r="B135" s="497"/>
      <c r="C135" s="329"/>
      <c r="D135" s="354" t="s">
        <v>263</v>
      </c>
      <c r="E135" s="524">
        <f>E134-E132</f>
        <v>243435.5</v>
      </c>
      <c r="F135" s="372"/>
      <c r="G135" s="406"/>
      <c r="H135" s="114"/>
      <c r="I135" s="114"/>
      <c r="J135" s="118"/>
    </row>
    <row r="136" spans="1:10" ht="15" customHeight="1">
      <c r="B136" s="497"/>
      <c r="C136" s="329"/>
      <c r="D136" s="354" t="s">
        <v>250</v>
      </c>
      <c r="E136" s="494">
        <f>'Üretim-Satış Hedefleri'!E90</f>
        <v>400</v>
      </c>
      <c r="F136" s="372"/>
      <c r="G136" s="406"/>
      <c r="H136" s="406"/>
      <c r="I136" s="406"/>
      <c r="J136" s="118"/>
    </row>
    <row r="137" spans="1:10" ht="15" customHeight="1">
      <c r="B137" s="497"/>
      <c r="C137" s="338"/>
      <c r="D137" s="355" t="s">
        <v>109</v>
      </c>
      <c r="E137" s="46">
        <f>(E129+E130)/E136</f>
        <v>33105</v>
      </c>
      <c r="F137" s="372"/>
      <c r="G137" s="406"/>
      <c r="H137" s="406"/>
      <c r="I137" s="406"/>
      <c r="J137" s="118"/>
    </row>
    <row r="138" spans="1:10" ht="37" customHeight="1" thickBot="1">
      <c r="B138" s="497"/>
      <c r="C138" s="324"/>
      <c r="D138" s="35" t="s">
        <v>267</v>
      </c>
      <c r="E138" s="522">
        <f>E139/('Üretim-Satış Hedefleri'!Q16/12)</f>
        <v>1.650088461953988</v>
      </c>
      <c r="F138" s="372"/>
      <c r="G138" s="406"/>
      <c r="H138" s="521" t="s">
        <v>270</v>
      </c>
      <c r="I138" s="521" t="s">
        <v>271</v>
      </c>
      <c r="J138" s="118"/>
    </row>
    <row r="139" spans="1:10" ht="37" customHeight="1" thickBot="1">
      <c r="B139" s="497"/>
      <c r="C139" s="324"/>
      <c r="D139" s="35" t="s">
        <v>253</v>
      </c>
      <c r="E139" s="522">
        <f>E131/E135</f>
        <v>55.002948731799599</v>
      </c>
      <c r="F139" s="372"/>
      <c r="H139" s="529">
        <f>E143/12</f>
        <v>6123450.2893099999</v>
      </c>
      <c r="I139" s="529">
        <f>E143/360</f>
        <v>204115.00964366665</v>
      </c>
      <c r="J139" s="118"/>
    </row>
    <row r="140" spans="1:10" ht="37" customHeight="1" thickBot="1">
      <c r="B140" s="497"/>
      <c r="C140" s="324"/>
      <c r="D140" s="35" t="s">
        <v>110</v>
      </c>
      <c r="E140" s="495">
        <f>E139*E134</f>
        <v>14465775.516463295</v>
      </c>
      <c r="F140" s="372"/>
      <c r="G140" s="406"/>
      <c r="H140" s="529">
        <f>E144/12</f>
        <v>7404977.2893100008</v>
      </c>
      <c r="I140" s="529">
        <f>E144/360</f>
        <v>246832.57631033336</v>
      </c>
      <c r="J140" s="118"/>
    </row>
    <row r="141" spans="1:10" s="496" customFormat="1" ht="16" customHeight="1" thickBot="1">
      <c r="A141" s="725"/>
      <c r="B141" s="713"/>
      <c r="C141" s="730"/>
      <c r="D141" s="498"/>
      <c r="E141" s="499"/>
      <c r="F141" s="372"/>
      <c r="G141" s="500"/>
      <c r="H141" s="529">
        <f>E145/12</f>
        <v>8951416.9893100001</v>
      </c>
      <c r="I141" s="529">
        <f>E145/360</f>
        <v>298380.56631033332</v>
      </c>
      <c r="J141" s="118"/>
    </row>
    <row r="142" spans="1:10" ht="33" customHeight="1">
      <c r="B142" s="497"/>
      <c r="C142" s="351"/>
      <c r="D142" s="352" t="s">
        <v>254</v>
      </c>
      <c r="E142" s="528" t="s">
        <v>268</v>
      </c>
      <c r="F142" s="527" t="s">
        <v>269</v>
      </c>
      <c r="G142" s="500" t="s">
        <v>275</v>
      </c>
      <c r="H142" s="500" t="s">
        <v>276</v>
      </c>
      <c r="I142" s="18" t="s">
        <v>277</v>
      </c>
      <c r="J142" s="118"/>
    </row>
    <row r="143" spans="1:10" ht="15" customHeight="1">
      <c r="B143" s="497"/>
      <c r="C143" s="327"/>
      <c r="D143" s="353" t="s">
        <v>264</v>
      </c>
      <c r="E143" s="525">
        <f>E121+E122</f>
        <v>73481403.471719995</v>
      </c>
      <c r="F143" s="44">
        <f>E143-E128</f>
        <v>13617504.809119992</v>
      </c>
      <c r="G143" s="543">
        <f>(F143*12)/E143</f>
        <v>2.223828751070736</v>
      </c>
      <c r="H143" s="543">
        <f>((F143*12)/E143)*30</f>
        <v>66.714862532122083</v>
      </c>
      <c r="I143" s="708" t="str">
        <f>DATEDIF(1,H143,"y")&amp;" "&amp;"YIL"&amp;" "&amp;DATEDIF(1,H143,"ym")&amp;" "&amp;"AY"&amp;" "&amp;DATEDIF(1,H143,"md")&amp;" "&amp;"GÜN"</f>
        <v>0 YIL 2 AY 5 GÜN</v>
      </c>
      <c r="J143" s="709"/>
    </row>
    <row r="144" spans="1:10" ht="15" customHeight="1">
      <c r="B144" s="497"/>
      <c r="C144" s="327"/>
      <c r="D144" s="353" t="s">
        <v>265</v>
      </c>
      <c r="E144" s="525">
        <f>F121+F122</f>
        <v>88859727.47172001</v>
      </c>
      <c r="F144" s="44">
        <f>F143+E144</f>
        <v>102477232.28084001</v>
      </c>
      <c r="G144" s="543">
        <f t="shared" ref="G144:G145" si="13">(F144*12)/E144</f>
        <v>13.83896645149453</v>
      </c>
      <c r="H144" s="543">
        <f>((F144*12)/E144)*30</f>
        <v>415.16899354483587</v>
      </c>
      <c r="I144" s="708" t="str">
        <f>DATEDIF(1,H144,"y")&amp;" "&amp;"YIL"&amp;" "&amp;DATEDIF(1,H144,"ym")&amp;" "&amp;"AY"&amp;" "&amp;DATEDIF(1,H144,"md")&amp;" "&amp;"GÜN"</f>
        <v>1 YIL 1 AY 17 GÜN</v>
      </c>
      <c r="J144" s="709"/>
    </row>
    <row r="145" spans="1:14" ht="15" customHeight="1">
      <c r="B145" s="497"/>
      <c r="C145" s="327"/>
      <c r="D145" s="353" t="s">
        <v>266</v>
      </c>
      <c r="E145" s="525">
        <f>G121+G122</f>
        <v>107417003.87172</v>
      </c>
      <c r="F145" s="44">
        <f>F144+E145</f>
        <v>209894236.15256</v>
      </c>
      <c r="G145" s="543">
        <f t="shared" si="13"/>
        <v>23.448157582561599</v>
      </c>
      <c r="H145" s="543">
        <f>((F145*12)/E145)*30</f>
        <v>703.44472747684802</v>
      </c>
      <c r="I145" s="708" t="str">
        <f>DATEDIF(1,H145,"y")&amp;" "&amp;"YIL"&amp;" "&amp;DATEDIF(1,H145,"ym")&amp;" "&amp;"AY"&amp;" "&amp;DATEDIF(1,H145,"md")&amp;" "&amp;"GÜN"</f>
        <v>1 YIL 11 AY 2 GÜN</v>
      </c>
      <c r="J145" s="709"/>
    </row>
    <row r="146" spans="1:14" ht="15" customHeight="1">
      <c r="B146" s="497"/>
      <c r="C146" s="327"/>
      <c r="D146" s="353"/>
      <c r="E146" s="525"/>
      <c r="F146" s="44"/>
      <c r="G146" s="500"/>
      <c r="H146" s="500"/>
      <c r="I146" s="544"/>
      <c r="J146" s="118"/>
    </row>
    <row r="147" spans="1:14" ht="39" customHeight="1" thickBot="1">
      <c r="B147" s="497"/>
      <c r="C147" s="324"/>
      <c r="D147" s="35" t="s">
        <v>255</v>
      </c>
      <c r="E147" s="526"/>
      <c r="F147" s="501" t="str">
        <f>DATEDIF(1,H143,"y")&amp;" "&amp;"YIL"&amp;" "&amp;DATEDIF(1,H143,"ym")&amp;" "&amp;"AY"&amp;" "&amp;DATEDIF(1,H143,"md")&amp;" "&amp;"GÜN"</f>
        <v>0 YIL 2 AY 5 GÜN</v>
      </c>
      <c r="G147" s="500"/>
      <c r="H147" s="544"/>
      <c r="I147" s="544"/>
      <c r="J147" s="545"/>
    </row>
    <row r="148" spans="1:14">
      <c r="B148" s="713"/>
      <c r="C148" s="711"/>
      <c r="D148" s="302"/>
      <c r="E148" s="250"/>
      <c r="F148" s="372"/>
      <c r="G148" s="406"/>
      <c r="H148" s="114"/>
      <c r="I148" s="114"/>
      <c r="J148" s="118"/>
    </row>
    <row r="149" spans="1:14" s="19" customFormat="1" ht="24" customHeight="1">
      <c r="A149" s="727"/>
      <c r="B149" s="712"/>
      <c r="C149" s="303"/>
      <c r="D149" s="31" t="s">
        <v>194</v>
      </c>
      <c r="E149" s="272"/>
      <c r="F149" s="385"/>
      <c r="G149" s="426"/>
      <c r="J149" s="119"/>
      <c r="K149" s="496"/>
      <c r="L149" s="496"/>
      <c r="M149" s="496"/>
      <c r="N149" s="496"/>
    </row>
    <row r="150" spans="1:14">
      <c r="B150" s="713"/>
      <c r="C150" s="711"/>
      <c r="D150" s="302"/>
      <c r="E150" s="250"/>
      <c r="F150" s="372"/>
      <c r="G150" s="406"/>
      <c r="H150" s="114"/>
      <c r="I150" s="114"/>
      <c r="J150" s="118"/>
    </row>
    <row r="151" spans="1:14" s="36" customFormat="1" ht="17" thickBot="1">
      <c r="A151" s="729"/>
      <c r="B151" s="731"/>
      <c r="C151" s="711"/>
      <c r="D151" s="579" t="s">
        <v>111</v>
      </c>
      <c r="E151" s="579"/>
      <c r="F151" s="579"/>
      <c r="G151" s="579"/>
      <c r="H151" s="579"/>
      <c r="I151" s="114"/>
      <c r="J151" s="118"/>
      <c r="K151" s="496"/>
      <c r="L151" s="496"/>
      <c r="M151" s="496"/>
      <c r="N151" s="496"/>
    </row>
    <row r="152" spans="1:14" ht="19">
      <c r="B152" s="497"/>
      <c r="C152" s="308"/>
      <c r="D152" s="561" t="s">
        <v>112</v>
      </c>
      <c r="E152" s="562"/>
      <c r="F152" s="562"/>
      <c r="G152" s="562"/>
      <c r="H152" s="562"/>
      <c r="I152" s="563"/>
      <c r="J152" s="118"/>
    </row>
    <row r="153" spans="1:14" ht="19">
      <c r="B153" s="497"/>
      <c r="C153" s="306"/>
      <c r="D153" s="356"/>
      <c r="E153" s="37" t="s">
        <v>113</v>
      </c>
      <c r="F153" s="564" t="s">
        <v>3</v>
      </c>
      <c r="G153" s="565"/>
      <c r="H153" s="565"/>
      <c r="I153" s="566"/>
      <c r="J153" s="118"/>
    </row>
    <row r="154" spans="1:14" ht="16">
      <c r="B154" s="497"/>
      <c r="C154" s="315"/>
      <c r="D154" s="570" t="s">
        <v>114</v>
      </c>
      <c r="E154" s="571"/>
      <c r="F154" s="571"/>
      <c r="G154" s="571"/>
      <c r="H154" s="571"/>
      <c r="I154" s="572"/>
      <c r="J154" s="118"/>
    </row>
    <row r="155" spans="1:14">
      <c r="B155" s="497"/>
      <c r="C155" s="317">
        <v>1</v>
      </c>
      <c r="D155" s="322" t="s">
        <v>115</v>
      </c>
      <c r="E155" s="256">
        <f>E87</f>
        <v>46621898.662600003</v>
      </c>
      <c r="F155" s="567"/>
      <c r="G155" s="568"/>
      <c r="H155" s="568"/>
      <c r="I155" s="569"/>
      <c r="J155" s="118"/>
    </row>
    <row r="156" spans="1:14">
      <c r="B156" s="497"/>
      <c r="C156" s="317">
        <v>2</v>
      </c>
      <c r="D156" s="323" t="s">
        <v>72</v>
      </c>
      <c r="E156" s="244">
        <f>E83</f>
        <v>13242000</v>
      </c>
      <c r="F156" s="567"/>
      <c r="G156" s="568"/>
      <c r="H156" s="568"/>
      <c r="I156" s="569"/>
      <c r="J156" s="118"/>
    </row>
    <row r="157" spans="1:14" ht="16">
      <c r="B157" s="497"/>
      <c r="C157" s="317"/>
      <c r="D157" s="357" t="s">
        <v>116</v>
      </c>
      <c r="E157" s="273">
        <f>E155+E156</f>
        <v>59863898.662600003</v>
      </c>
      <c r="F157" s="567"/>
      <c r="G157" s="568"/>
      <c r="H157" s="568"/>
      <c r="I157" s="569"/>
      <c r="J157" s="118"/>
    </row>
    <row r="158" spans="1:14" ht="16">
      <c r="B158" s="497"/>
      <c r="C158" s="317"/>
      <c r="D158" s="583" t="s">
        <v>117</v>
      </c>
      <c r="E158" s="584"/>
      <c r="F158" s="584"/>
      <c r="G158" s="584"/>
      <c r="H158" s="584"/>
      <c r="I158" s="585"/>
      <c r="J158" s="118"/>
    </row>
    <row r="159" spans="1:14">
      <c r="B159" s="497"/>
      <c r="C159" s="317">
        <v>1</v>
      </c>
      <c r="D159" s="322" t="s">
        <v>118</v>
      </c>
      <c r="E159" s="274"/>
      <c r="F159" s="573" t="s">
        <v>119</v>
      </c>
      <c r="G159" s="574"/>
      <c r="H159" s="574"/>
      <c r="I159" s="575"/>
      <c r="J159" s="118"/>
    </row>
    <row r="160" spans="1:14">
      <c r="B160" s="497"/>
      <c r="C160" s="317">
        <v>2</v>
      </c>
      <c r="D160" s="323" t="s">
        <v>120</v>
      </c>
      <c r="E160" s="275"/>
      <c r="F160" s="573"/>
      <c r="G160" s="574"/>
      <c r="H160" s="574"/>
      <c r="I160" s="575"/>
      <c r="J160" s="118"/>
    </row>
    <row r="161" spans="1:10">
      <c r="B161" s="497"/>
      <c r="C161" s="317">
        <v>3</v>
      </c>
      <c r="D161" s="323" t="s">
        <v>121</v>
      </c>
      <c r="E161" s="275"/>
      <c r="F161" s="573"/>
      <c r="G161" s="574"/>
      <c r="H161" s="574"/>
      <c r="I161" s="575"/>
      <c r="J161" s="118"/>
    </row>
    <row r="162" spans="1:10">
      <c r="B162" s="497"/>
      <c r="C162" s="306">
        <v>4</v>
      </c>
      <c r="D162" s="26" t="s">
        <v>122</v>
      </c>
      <c r="E162" s="276"/>
      <c r="F162" s="576"/>
      <c r="G162" s="577"/>
      <c r="H162" s="577"/>
      <c r="I162" s="578"/>
      <c r="J162" s="118"/>
    </row>
    <row r="163" spans="1:10" ht="20" thickBot="1">
      <c r="B163" s="497"/>
      <c r="C163" s="313"/>
      <c r="D163" s="314" t="s">
        <v>123</v>
      </c>
      <c r="E163" s="277">
        <f>SUM(E157:E162)</f>
        <v>59863898.662600003</v>
      </c>
      <c r="F163" s="558"/>
      <c r="G163" s="559"/>
      <c r="H163" s="559"/>
      <c r="I163" s="560"/>
      <c r="J163" s="118"/>
    </row>
    <row r="164" spans="1:10">
      <c r="B164" s="497"/>
      <c r="C164" s="301"/>
      <c r="D164" s="302"/>
      <c r="E164" s="250"/>
      <c r="F164" s="372"/>
      <c r="G164" s="406"/>
      <c r="H164" s="114"/>
      <c r="I164" s="114"/>
      <c r="J164" s="118"/>
    </row>
    <row r="165" spans="1:10">
      <c r="B165" s="497"/>
      <c r="C165" s="301"/>
      <c r="D165" s="358" t="s">
        <v>196</v>
      </c>
      <c r="E165" s="278" t="s">
        <v>197</v>
      </c>
      <c r="F165" s="394"/>
      <c r="G165" s="434"/>
      <c r="H165" s="73" t="s">
        <v>273</v>
      </c>
      <c r="I165" s="115"/>
      <c r="J165" s="118"/>
    </row>
    <row r="166" spans="1:10">
      <c r="B166" s="497"/>
      <c r="C166" s="301"/>
      <c r="D166" s="302"/>
      <c r="E166" s="250"/>
      <c r="F166" s="372"/>
      <c r="G166" s="406"/>
      <c r="H166" s="114"/>
      <c r="I166" s="114"/>
      <c r="J166" s="118"/>
    </row>
    <row r="167" spans="1:10">
      <c r="B167" s="497"/>
      <c r="C167" s="301"/>
      <c r="D167" s="302"/>
      <c r="E167" s="250"/>
      <c r="F167" s="372"/>
      <c r="G167" s="406"/>
      <c r="H167" s="114"/>
      <c r="I167" s="114"/>
      <c r="J167" s="118"/>
    </row>
    <row r="168" spans="1:10" ht="16" thickBot="1">
      <c r="B168" s="497"/>
      <c r="C168" s="359"/>
      <c r="D168" s="360"/>
      <c r="E168" s="279"/>
      <c r="F168" s="395"/>
      <c r="G168" s="435"/>
      <c r="H168" s="121"/>
      <c r="I168" s="121"/>
      <c r="J168" s="122"/>
    </row>
    <row r="169" spans="1:10" s="496" customFormat="1">
      <c r="A169" s="725"/>
      <c r="B169" s="497"/>
      <c r="C169" s="537"/>
      <c r="D169" s="538"/>
      <c r="E169" s="539"/>
      <c r="F169" s="540"/>
      <c r="G169" s="541"/>
    </row>
    <row r="170" spans="1:10" s="496" customFormat="1">
      <c r="A170" s="725"/>
      <c r="B170" s="497"/>
      <c r="C170" s="537"/>
      <c r="D170" s="538"/>
      <c r="E170" s="539"/>
      <c r="F170" s="540"/>
      <c r="G170" s="541"/>
    </row>
    <row r="171" spans="1:10" s="496" customFormat="1">
      <c r="A171" s="725"/>
      <c r="B171" s="497"/>
      <c r="C171" s="537"/>
      <c r="D171" s="538"/>
      <c r="E171" s="539"/>
      <c r="F171" s="540"/>
      <c r="G171" s="541"/>
    </row>
    <row r="172" spans="1:10" ht="28">
      <c r="B172" s="497"/>
      <c r="D172" s="238" t="s">
        <v>241</v>
      </c>
      <c r="E172" s="238" t="s">
        <v>242</v>
      </c>
      <c r="F172" s="396" t="s">
        <v>243</v>
      </c>
      <c r="G172" s="436" t="s">
        <v>244</v>
      </c>
      <c r="H172" s="238" t="s">
        <v>245</v>
      </c>
      <c r="I172" s="238" t="s">
        <v>246</v>
      </c>
      <c r="J172" s="238" t="s">
        <v>247</v>
      </c>
    </row>
    <row r="173" spans="1:10">
      <c r="B173" s="497"/>
      <c r="C173" s="361">
        <v>11</v>
      </c>
      <c r="D173" s="354" t="str">
        <f>'Üretim-Satış Hedefleri'!C5</f>
        <v>MAKİNE</v>
      </c>
      <c r="E173" s="280">
        <f>H53</f>
        <v>5416200</v>
      </c>
      <c r="F173" s="237">
        <f>'Üretim-Satış Hedefleri'!D5</f>
        <v>263000</v>
      </c>
      <c r="G173" s="364">
        <f>F173*0.3</f>
        <v>78900</v>
      </c>
      <c r="H173" s="239">
        <f>E139*'Üretim-Satış Hedefleri'!G81</f>
        <v>5500.2948731799597</v>
      </c>
      <c r="I173" s="542">
        <f>'Üretim-Satış Hedefleri'!Q5/12</f>
        <v>33.333333333333336</v>
      </c>
      <c r="J173" s="237">
        <v>11.77</v>
      </c>
    </row>
    <row r="174" spans="1:10">
      <c r="B174" s="497"/>
      <c r="C174" s="361">
        <v>2</v>
      </c>
      <c r="D174" s="354">
        <f>'Üretim-Satış Hedefleri'!C6</f>
        <v>0</v>
      </c>
      <c r="E174" s="280">
        <f>H53</f>
        <v>5416200</v>
      </c>
      <c r="F174" s="237"/>
      <c r="G174" s="364">
        <f t="shared" ref="G174:G181" si="14">F174*0.3</f>
        <v>0</v>
      </c>
      <c r="H174" s="239">
        <f>E139*'Üretim-Satış Hedefleri'!G82</f>
        <v>0</v>
      </c>
      <c r="I174" s="239">
        <f>'Üretim-Satış Hedefleri'!Q6/12</f>
        <v>0</v>
      </c>
      <c r="J174" s="237"/>
    </row>
    <row r="175" spans="1:10">
      <c r="B175" s="497"/>
      <c r="C175" s="361">
        <v>3</v>
      </c>
      <c r="D175" s="354">
        <f>'Üretim-Satış Hedefleri'!C7</f>
        <v>0</v>
      </c>
      <c r="E175" s="280">
        <f>H53</f>
        <v>5416200</v>
      </c>
      <c r="F175" s="237"/>
      <c r="G175" s="364">
        <f t="shared" si="14"/>
        <v>0</v>
      </c>
      <c r="H175" s="239">
        <f>E139*'Üretim-Satış Hedefleri'!G83</f>
        <v>0</v>
      </c>
      <c r="I175" s="239">
        <f>'Üretim-Satış Hedefleri'!Q7/12</f>
        <v>0</v>
      </c>
      <c r="J175" s="237"/>
    </row>
    <row r="176" spans="1:10">
      <c r="B176" s="497"/>
      <c r="C176" s="361">
        <v>4</v>
      </c>
      <c r="D176" s="354">
        <f>'Üretim-Satış Hedefleri'!C8</f>
        <v>0</v>
      </c>
      <c r="E176" s="280">
        <f>H53</f>
        <v>5416200</v>
      </c>
      <c r="F176" s="237"/>
      <c r="G176" s="364">
        <f t="shared" si="14"/>
        <v>0</v>
      </c>
      <c r="H176" s="239">
        <f>E139*'Üretim-Satış Hedefleri'!G84</f>
        <v>0</v>
      </c>
      <c r="I176" s="239">
        <f>'Üretim-Satış Hedefleri'!Q8/12</f>
        <v>0</v>
      </c>
      <c r="J176" s="237"/>
    </row>
    <row r="177" spans="1:10">
      <c r="B177" s="497"/>
      <c r="C177" s="361">
        <v>5</v>
      </c>
      <c r="D177" s="354">
        <f>'Üretim-Satış Hedefleri'!C9</f>
        <v>0</v>
      </c>
      <c r="E177" s="280">
        <f>H53</f>
        <v>5416200</v>
      </c>
      <c r="F177" s="237"/>
      <c r="G177" s="364">
        <f t="shared" si="14"/>
        <v>0</v>
      </c>
      <c r="H177" s="239">
        <f>E139*'Üretim-Satış Hedefleri'!G85</f>
        <v>0</v>
      </c>
      <c r="I177" s="239">
        <f>'Üretim-Satış Hedefleri'!Q9/12</f>
        <v>0</v>
      </c>
      <c r="J177" s="237"/>
    </row>
    <row r="178" spans="1:10">
      <c r="B178" s="497"/>
      <c r="C178" s="361">
        <v>6</v>
      </c>
      <c r="D178" s="354">
        <f>'Üretim-Satış Hedefleri'!C10</f>
        <v>0</v>
      </c>
      <c r="E178" s="280">
        <f>H53</f>
        <v>5416200</v>
      </c>
      <c r="F178" s="237"/>
      <c r="G178" s="364">
        <f t="shared" si="14"/>
        <v>0</v>
      </c>
      <c r="H178" s="239">
        <f>E139*'Üretim-Satış Hedefleri'!G86</f>
        <v>0</v>
      </c>
      <c r="I178" s="239">
        <f>'Üretim-Satış Hedefleri'!Q10/12</f>
        <v>0</v>
      </c>
      <c r="J178" s="237"/>
    </row>
    <row r="179" spans="1:10">
      <c r="B179" s="497"/>
      <c r="C179" s="361">
        <v>7</v>
      </c>
      <c r="D179" s="354">
        <f>'Üretim-Satış Hedefleri'!C11</f>
        <v>0</v>
      </c>
      <c r="E179" s="280">
        <f>H53</f>
        <v>5416200</v>
      </c>
      <c r="F179" s="237"/>
      <c r="G179" s="364">
        <f t="shared" si="14"/>
        <v>0</v>
      </c>
      <c r="H179" s="239">
        <f>E139*'Üretim-Satış Hedefleri'!G87</f>
        <v>0</v>
      </c>
      <c r="I179" s="239">
        <f>'Üretim-Satış Hedefleri'!Q11/12</f>
        <v>0</v>
      </c>
      <c r="J179" s="237"/>
    </row>
    <row r="180" spans="1:10">
      <c r="B180" s="497"/>
      <c r="C180" s="361">
        <v>8</v>
      </c>
      <c r="D180" s="354">
        <f>'Üretim-Satış Hedefleri'!C12</f>
        <v>0</v>
      </c>
      <c r="E180" s="280">
        <f>H53</f>
        <v>5416200</v>
      </c>
      <c r="F180" s="237"/>
      <c r="G180" s="364">
        <f t="shared" si="14"/>
        <v>0</v>
      </c>
      <c r="H180" s="239">
        <f>E139*'Üretim-Satış Hedefleri'!G88</f>
        <v>0</v>
      </c>
      <c r="I180" s="239">
        <f>'Üretim-Satış Hedefleri'!Q12/12</f>
        <v>0</v>
      </c>
      <c r="J180" s="237"/>
    </row>
    <row r="181" spans="1:10">
      <c r="B181" s="497"/>
      <c r="C181" s="361">
        <v>9</v>
      </c>
      <c r="D181" s="354">
        <f>'Üretim-Satış Hedefleri'!C13</f>
        <v>0</v>
      </c>
      <c r="E181" s="280">
        <f>H53</f>
        <v>5416200</v>
      </c>
      <c r="F181" s="237"/>
      <c r="G181" s="364">
        <f t="shared" si="14"/>
        <v>0</v>
      </c>
      <c r="H181" s="239">
        <f>E139*'Üretim-Satış Hedefleri'!G89</f>
        <v>0</v>
      </c>
      <c r="I181" s="239">
        <f>'Üretim-Satış Hedefleri'!Q13/12</f>
        <v>0</v>
      </c>
      <c r="J181" s="237"/>
    </row>
    <row r="182" spans="1:10" s="496" customFormat="1">
      <c r="A182" s="725"/>
      <c r="B182" s="497"/>
      <c r="C182" s="537"/>
      <c r="D182" s="538"/>
      <c r="E182" s="539"/>
      <c r="F182" s="540"/>
      <c r="G182" s="541"/>
    </row>
    <row r="183" spans="1:10" s="496" customFormat="1">
      <c r="A183" s="725"/>
      <c r="B183" s="497"/>
      <c r="C183" s="537"/>
      <c r="D183" s="538"/>
      <c r="E183" s="539"/>
      <c r="F183" s="540"/>
      <c r="G183" s="541"/>
    </row>
    <row r="184" spans="1:10" s="496" customFormat="1">
      <c r="A184" s="725"/>
      <c r="B184" s="497"/>
      <c r="C184" s="537"/>
      <c r="D184" s="538"/>
      <c r="E184" s="539"/>
      <c r="F184" s="540"/>
      <c r="G184" s="541"/>
    </row>
  </sheetData>
  <sheetProtection formatCells="0" formatColumns="0" formatRows="0" insertColumns="0" insertRows="0" insertHyperlinks="0" deleteColumns="0" deleteRows="0" sort="0" autoFilter="0" pivotTables="0"/>
  <dataConsolidate>
    <dataRefs count="1">
      <dataRef ref="B9:C9" sheet="6. Finansal Plan" r:id="rId1"/>
    </dataRefs>
  </dataConsolidate>
  <mergeCells count="55">
    <mergeCell ref="I144:J144"/>
    <mergeCell ref="I145:J145"/>
    <mergeCell ref="B23:B28"/>
    <mergeCell ref="F13:G13"/>
    <mergeCell ref="F15:G15"/>
    <mergeCell ref="F16:G16"/>
    <mergeCell ref="D21:G21"/>
    <mergeCell ref="F14:G14"/>
    <mergeCell ref="F17:G17"/>
    <mergeCell ref="E19:G19"/>
    <mergeCell ref="F10:G10"/>
    <mergeCell ref="F11:G11"/>
    <mergeCell ref="F12:G12"/>
    <mergeCell ref="F18:G18"/>
    <mergeCell ref="I44:I45"/>
    <mergeCell ref="H58:I58"/>
    <mergeCell ref="D55:I55"/>
    <mergeCell ref="H57:I57"/>
    <mergeCell ref="H59:I59"/>
    <mergeCell ref="G62:H63"/>
    <mergeCell ref="C62:F63"/>
    <mergeCell ref="H44:H45"/>
    <mergeCell ref="E44:E45"/>
    <mergeCell ref="F44:G44"/>
    <mergeCell ref="D44:D45"/>
    <mergeCell ref="C1:G1"/>
    <mergeCell ref="F9:G9"/>
    <mergeCell ref="F7:G7"/>
    <mergeCell ref="D5:G5"/>
    <mergeCell ref="F8:G8"/>
    <mergeCell ref="F6:G6"/>
    <mergeCell ref="E2:G2"/>
    <mergeCell ref="D151:H151"/>
    <mergeCell ref="D111:H111"/>
    <mergeCell ref="H60:I60"/>
    <mergeCell ref="D61:G61"/>
    <mergeCell ref="D158:I158"/>
    <mergeCell ref="F155:I155"/>
    <mergeCell ref="E113:I113"/>
    <mergeCell ref="D112:I112"/>
    <mergeCell ref="D84:E84"/>
    <mergeCell ref="C73:G73"/>
    <mergeCell ref="D85:E85"/>
    <mergeCell ref="D86:E86"/>
    <mergeCell ref="F76:F83"/>
    <mergeCell ref="E92:I92"/>
    <mergeCell ref="I62:I63"/>
    <mergeCell ref="I143:J143"/>
    <mergeCell ref="F163:I163"/>
    <mergeCell ref="D152:I152"/>
    <mergeCell ref="F153:I153"/>
    <mergeCell ref="F156:I156"/>
    <mergeCell ref="F157:I157"/>
    <mergeCell ref="D154:I154"/>
    <mergeCell ref="F159:I162"/>
  </mergeCells>
  <phoneticPr fontId="12" type="noConversion"/>
  <dataValidations xWindow="1152" yWindow="218" count="1">
    <dataValidation allowBlank="1" showInputMessage="1" showErrorMessage="1" promptTitle="Tufan Ata TÜRKYILMAZ" prompt="Lütfen Değiştirmeyiniz. _x000d_Otomatik olarak dolacaktır. " sqref="E9 E87:E89 E19:G19 E124:I125 F96:I97 E95:E96 E99:I99 E101:E102 E105:I108 E115:I117 E123 E119:I122 E65:I72 E53 E16 I60 E49 H58:H60 G46:I53 E76:G83 E129:E141 G38:G40 G23:G28 E146:F147" xr:uid="{00000000-0002-0000-0100-000000000000}"/>
  </dataValidations>
  <hyperlinks>
    <hyperlink ref="E2" r:id="rId2" xr:uid="{00000000-0004-0000-0100-000000000000}"/>
  </hyperlinks>
  <pageMargins left="0.7" right="0.7" top="0.75" bottom="0.75" header="0.3" footer="0.3"/>
  <pageSetup paperSize="9" orientation="landscape" horizontalDpi="300" verticalDpi="300"/>
  <ignoredErrors>
    <ignoredError sqref="D65:D71 D76:D82" unlockedFormula="1"/>
  </ignoredErrors>
  <drawing r:id="rId3"/>
  <legacyDrawing r:id="rId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92"/>
  <sheetViews>
    <sheetView topLeftCell="A41" zoomScaleNormal="111" zoomScalePageLayoutView="111" workbookViewId="0">
      <selection activeCell="F75" sqref="F75"/>
    </sheetView>
  </sheetViews>
  <sheetFormatPr baseColWidth="10" defaultColWidth="8.83203125" defaultRowHeight="15"/>
  <cols>
    <col min="1" max="1" width="3.1640625" style="198" customWidth="1"/>
    <col min="2" max="2" width="4.1640625" style="184" customWidth="1"/>
    <col min="3" max="3" width="23.5" style="133" customWidth="1"/>
    <col min="4" max="4" width="9" style="133" customWidth="1"/>
    <col min="5" max="5" width="9.5" style="133" customWidth="1"/>
    <col min="6" max="16" width="11.6640625" style="133" customWidth="1"/>
    <col min="17" max="18" width="13.83203125" style="133" customWidth="1"/>
    <col min="19" max="19" width="8.83203125" style="198"/>
    <col min="20" max="16384" width="8.83203125" style="133"/>
  </cols>
  <sheetData>
    <row r="1" spans="1:38" s="198" customFormat="1" ht="157" customHeight="1">
      <c r="B1" s="710" t="s">
        <v>279</v>
      </c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208"/>
      <c r="S1" s="201"/>
    </row>
    <row r="2" spans="1:38" s="200" customFormat="1" ht="33" customHeight="1" thickBot="1">
      <c r="B2" s="508"/>
      <c r="C2" s="686" t="s">
        <v>227</v>
      </c>
      <c r="D2" s="686"/>
      <c r="E2" s="686"/>
      <c r="F2" s="686"/>
      <c r="G2" s="686"/>
      <c r="H2" s="686"/>
      <c r="I2" s="686"/>
      <c r="J2" s="686"/>
      <c r="K2" s="686"/>
      <c r="L2" s="686"/>
      <c r="M2" s="686"/>
      <c r="N2" s="686"/>
      <c r="O2" s="686"/>
      <c r="P2" s="686"/>
      <c r="Q2" s="686"/>
      <c r="R2" s="686"/>
      <c r="S2" s="132"/>
    </row>
    <row r="3" spans="1:38" s="139" customFormat="1" ht="12" customHeight="1">
      <c r="A3" s="451"/>
      <c r="B3" s="138"/>
      <c r="C3" s="638" t="s">
        <v>125</v>
      </c>
      <c r="D3" s="634" t="s">
        <v>249</v>
      </c>
      <c r="E3" s="640" t="s">
        <v>220</v>
      </c>
      <c r="F3" s="640" t="s">
        <v>221</v>
      </c>
      <c r="G3" s="640" t="s">
        <v>231</v>
      </c>
      <c r="H3" s="640" t="s">
        <v>223</v>
      </c>
      <c r="I3" s="640" t="s">
        <v>232</v>
      </c>
      <c r="J3" s="640" t="s">
        <v>225</v>
      </c>
      <c r="K3" s="640" t="s">
        <v>233</v>
      </c>
      <c r="L3" s="640" t="s">
        <v>234</v>
      </c>
      <c r="M3" s="640" t="s">
        <v>235</v>
      </c>
      <c r="N3" s="640" t="s">
        <v>236</v>
      </c>
      <c r="O3" s="640" t="s">
        <v>237</v>
      </c>
      <c r="P3" s="640" t="s">
        <v>238</v>
      </c>
      <c r="Q3" s="651" t="s">
        <v>209</v>
      </c>
      <c r="R3" s="680" t="s">
        <v>210</v>
      </c>
      <c r="S3" s="132"/>
    </row>
    <row r="4" spans="1:38" s="139" customFormat="1" ht="21" customHeight="1">
      <c r="A4" s="451"/>
      <c r="B4" s="140"/>
      <c r="C4" s="639"/>
      <c r="D4" s="635"/>
      <c r="E4" s="641"/>
      <c r="F4" s="641"/>
      <c r="G4" s="641"/>
      <c r="H4" s="641"/>
      <c r="I4" s="641"/>
      <c r="J4" s="641"/>
      <c r="K4" s="641"/>
      <c r="L4" s="641"/>
      <c r="M4" s="641"/>
      <c r="N4" s="641"/>
      <c r="O4" s="641"/>
      <c r="P4" s="641"/>
      <c r="Q4" s="652"/>
      <c r="R4" s="681"/>
      <c r="S4" s="132"/>
      <c r="Y4" s="139" t="s">
        <v>200</v>
      </c>
      <c r="AA4" s="139">
        <v>90</v>
      </c>
      <c r="AB4" s="139">
        <v>115</v>
      </c>
      <c r="AC4" s="139">
        <v>130</v>
      </c>
      <c r="AD4" s="139">
        <v>235</v>
      </c>
      <c r="AE4" s="139">
        <v>320</v>
      </c>
      <c r="AF4" s="139">
        <v>380</v>
      </c>
      <c r="AG4" s="139">
        <v>455</v>
      </c>
      <c r="AH4" s="139">
        <v>500</v>
      </c>
      <c r="AI4" s="139">
        <v>565</v>
      </c>
      <c r="AJ4" s="139">
        <v>640</v>
      </c>
      <c r="AK4" s="139">
        <v>705</v>
      </c>
      <c r="AL4" s="139">
        <v>780</v>
      </c>
    </row>
    <row r="5" spans="1:38" s="139" customFormat="1" ht="12" customHeight="1">
      <c r="A5" s="451"/>
      <c r="B5" s="141">
        <v>1</v>
      </c>
      <c r="C5" s="139" t="s">
        <v>272</v>
      </c>
      <c r="D5" s="437">
        <v>263000</v>
      </c>
      <c r="E5" s="139">
        <v>0</v>
      </c>
      <c r="F5" s="139">
        <v>0</v>
      </c>
      <c r="G5" s="139">
        <v>0</v>
      </c>
      <c r="H5" s="139">
        <v>20</v>
      </c>
      <c r="I5" s="139">
        <v>30</v>
      </c>
      <c r="J5" s="139">
        <v>50</v>
      </c>
      <c r="K5" s="139">
        <v>50</v>
      </c>
      <c r="L5" s="139">
        <v>50</v>
      </c>
      <c r="M5" s="139">
        <v>50</v>
      </c>
      <c r="N5" s="139">
        <v>50</v>
      </c>
      <c r="O5" s="139">
        <v>50</v>
      </c>
      <c r="P5" s="139">
        <v>50</v>
      </c>
      <c r="Q5" s="214">
        <f>SUM(E5:P5)</f>
        <v>400</v>
      </c>
      <c r="R5" s="215">
        <f>Q5*I49</f>
        <v>480</v>
      </c>
      <c r="S5" s="132"/>
      <c r="Y5" s="139" t="s">
        <v>201</v>
      </c>
      <c r="AA5" s="139">
        <v>65</v>
      </c>
      <c r="AB5" s="139">
        <v>95</v>
      </c>
      <c r="AC5" s="139">
        <v>105</v>
      </c>
      <c r="AD5" s="139">
        <v>195</v>
      </c>
      <c r="AE5" s="139">
        <v>285</v>
      </c>
      <c r="AF5" s="139">
        <v>430</v>
      </c>
      <c r="AG5" s="139">
        <v>560</v>
      </c>
      <c r="AH5" s="139">
        <v>740</v>
      </c>
      <c r="AI5" s="139">
        <v>850</v>
      </c>
      <c r="AJ5" s="139">
        <v>685</v>
      </c>
      <c r="AK5" s="139">
        <v>655</v>
      </c>
      <c r="AL5" s="139">
        <v>750</v>
      </c>
    </row>
    <row r="6" spans="1:38" s="139" customFormat="1" ht="12" customHeight="1">
      <c r="A6" s="451"/>
      <c r="B6" s="142">
        <v>2</v>
      </c>
      <c r="D6" s="137"/>
      <c r="Q6" s="214">
        <f t="shared" ref="Q6:Q15" si="0">SUM(E6:P6)</f>
        <v>0</v>
      </c>
      <c r="R6" s="215">
        <f>Q6*I49</f>
        <v>0</v>
      </c>
      <c r="S6" s="132"/>
      <c r="Y6" s="139" t="s">
        <v>202</v>
      </c>
      <c r="AA6" s="139">
        <v>15</v>
      </c>
      <c r="AB6" s="139">
        <v>15</v>
      </c>
      <c r="AC6" s="139">
        <v>20</v>
      </c>
      <c r="AD6" s="139">
        <v>20</v>
      </c>
      <c r="AE6" s="139">
        <v>30</v>
      </c>
      <c r="AF6" s="139">
        <v>60</v>
      </c>
      <c r="AG6" s="139">
        <v>75</v>
      </c>
      <c r="AH6" s="139">
        <v>90</v>
      </c>
      <c r="AI6" s="139">
        <v>110</v>
      </c>
      <c r="AJ6" s="139">
        <v>125</v>
      </c>
      <c r="AK6" s="139">
        <v>110</v>
      </c>
      <c r="AL6" s="139">
        <v>110</v>
      </c>
    </row>
    <row r="7" spans="1:38" s="139" customFormat="1" ht="12" customHeight="1">
      <c r="A7" s="451"/>
      <c r="B7" s="141">
        <v>3</v>
      </c>
      <c r="D7" s="137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14">
        <f t="shared" si="0"/>
        <v>0</v>
      </c>
      <c r="R7" s="215">
        <f>Q7*I49</f>
        <v>0</v>
      </c>
      <c r="S7" s="132"/>
      <c r="Y7" s="139" t="s">
        <v>203</v>
      </c>
      <c r="AA7" s="139">
        <v>177</v>
      </c>
      <c r="AB7" s="139">
        <v>227</v>
      </c>
      <c r="AC7" s="139">
        <v>305</v>
      </c>
      <c r="AD7" s="139">
        <v>370</v>
      </c>
      <c r="AE7" s="139">
        <v>429</v>
      </c>
      <c r="AF7" s="139">
        <v>492</v>
      </c>
      <c r="AG7" s="139">
        <v>565</v>
      </c>
      <c r="AH7" s="139">
        <v>623</v>
      </c>
      <c r="AI7" s="139">
        <v>655</v>
      </c>
      <c r="AJ7" s="139">
        <v>734</v>
      </c>
      <c r="AK7" s="139">
        <v>790</v>
      </c>
      <c r="AL7" s="139">
        <v>901</v>
      </c>
    </row>
    <row r="8" spans="1:38" s="139" customFormat="1" ht="12" customHeight="1">
      <c r="A8" s="451"/>
      <c r="B8" s="142">
        <v>4</v>
      </c>
      <c r="D8" s="137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14">
        <f t="shared" si="0"/>
        <v>0</v>
      </c>
      <c r="R8" s="215">
        <f>Q8*I49</f>
        <v>0</v>
      </c>
      <c r="S8" s="132"/>
      <c r="Y8" s="139" t="s">
        <v>204</v>
      </c>
      <c r="AA8" s="139">
        <v>30</v>
      </c>
      <c r="AB8" s="139">
        <v>75</v>
      </c>
      <c r="AC8" s="139">
        <v>105</v>
      </c>
      <c r="AD8" s="139">
        <v>149</v>
      </c>
      <c r="AE8" s="139">
        <v>159</v>
      </c>
      <c r="AF8" s="139">
        <v>189</v>
      </c>
      <c r="AG8" s="139">
        <v>204</v>
      </c>
      <c r="AH8" s="139">
        <v>243</v>
      </c>
      <c r="AI8" s="139">
        <v>278</v>
      </c>
      <c r="AJ8" s="139">
        <v>320</v>
      </c>
      <c r="AK8" s="139">
        <v>335</v>
      </c>
      <c r="AL8" s="139">
        <v>360</v>
      </c>
    </row>
    <row r="9" spans="1:38" s="139" customFormat="1" ht="12" customHeight="1">
      <c r="A9" s="451"/>
      <c r="B9" s="141">
        <v>5</v>
      </c>
      <c r="D9" s="137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14">
        <f t="shared" si="0"/>
        <v>0</v>
      </c>
      <c r="R9" s="215">
        <f>Q9*I49</f>
        <v>0</v>
      </c>
      <c r="S9" s="132"/>
      <c r="Y9" s="139" t="s">
        <v>205</v>
      </c>
      <c r="AA9" s="139">
        <v>65</v>
      </c>
      <c r="AB9" s="139">
        <v>65</v>
      </c>
      <c r="AC9" s="139">
        <v>90</v>
      </c>
      <c r="AD9" s="139">
        <v>110</v>
      </c>
      <c r="AE9" s="139">
        <v>120</v>
      </c>
      <c r="AF9" s="139">
        <v>140</v>
      </c>
      <c r="AG9" s="139">
        <v>160</v>
      </c>
      <c r="AH9" s="139">
        <v>200</v>
      </c>
      <c r="AI9" s="139">
        <v>230</v>
      </c>
      <c r="AJ9" s="139">
        <v>250</v>
      </c>
      <c r="AK9" s="139">
        <v>285</v>
      </c>
      <c r="AL9" s="139">
        <v>325</v>
      </c>
    </row>
    <row r="10" spans="1:38" s="139" customFormat="1" ht="12" customHeight="1">
      <c r="A10" s="451"/>
      <c r="B10" s="142">
        <v>6</v>
      </c>
      <c r="D10" s="137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14">
        <f t="shared" si="0"/>
        <v>0</v>
      </c>
      <c r="R10" s="215">
        <f>Q10*I49</f>
        <v>0</v>
      </c>
      <c r="S10" s="132"/>
      <c r="Y10" s="139" t="s">
        <v>206</v>
      </c>
      <c r="AA10" s="139">
        <v>26</v>
      </c>
      <c r="AB10" s="139">
        <v>45</v>
      </c>
      <c r="AC10" s="139">
        <v>62</v>
      </c>
      <c r="AD10" s="139">
        <v>78</v>
      </c>
      <c r="AE10" s="139">
        <v>91</v>
      </c>
      <c r="AF10" s="139">
        <v>125</v>
      </c>
      <c r="AG10" s="139">
        <v>132</v>
      </c>
      <c r="AH10" s="139">
        <v>138</v>
      </c>
      <c r="AI10" s="139">
        <v>171</v>
      </c>
      <c r="AJ10" s="139">
        <v>180</v>
      </c>
      <c r="AK10" s="139">
        <v>215</v>
      </c>
      <c r="AL10" s="139">
        <v>235</v>
      </c>
    </row>
    <row r="11" spans="1:38" s="139" customFormat="1" ht="12" customHeight="1">
      <c r="A11" s="451"/>
      <c r="B11" s="141">
        <v>7</v>
      </c>
      <c r="D11" s="137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14">
        <f t="shared" si="0"/>
        <v>0</v>
      </c>
      <c r="R11" s="215">
        <f>Q11*I49</f>
        <v>0</v>
      </c>
      <c r="S11" s="132"/>
      <c r="Y11" s="139" t="s">
        <v>207</v>
      </c>
      <c r="AA11" s="139">
        <v>0</v>
      </c>
      <c r="AB11" s="139">
        <v>35</v>
      </c>
      <c r="AC11" s="139">
        <v>67</v>
      </c>
      <c r="AD11" s="139">
        <v>99</v>
      </c>
      <c r="AE11" s="139">
        <v>142</v>
      </c>
      <c r="AF11" s="139">
        <v>194</v>
      </c>
      <c r="AG11" s="139">
        <v>236</v>
      </c>
      <c r="AH11" s="139">
        <v>288</v>
      </c>
      <c r="AI11" s="139">
        <v>340</v>
      </c>
      <c r="AJ11" s="139">
        <v>375</v>
      </c>
      <c r="AK11" s="139">
        <v>430</v>
      </c>
      <c r="AL11" s="139">
        <v>495</v>
      </c>
    </row>
    <row r="12" spans="1:38" s="139" customFormat="1" ht="12" customHeight="1">
      <c r="A12" s="451"/>
      <c r="B12" s="142">
        <v>8</v>
      </c>
      <c r="D12" s="137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14">
        <f t="shared" si="0"/>
        <v>0</v>
      </c>
      <c r="R12" s="215">
        <f>Q12*I49</f>
        <v>0</v>
      </c>
      <c r="S12" s="132"/>
      <c r="Y12" s="139" t="s">
        <v>208</v>
      </c>
      <c r="AA12" s="139">
        <v>0</v>
      </c>
      <c r="AB12" s="139">
        <v>0</v>
      </c>
      <c r="AC12" s="139">
        <v>0</v>
      </c>
      <c r="AD12" s="139">
        <v>90</v>
      </c>
      <c r="AE12" s="139">
        <v>135</v>
      </c>
      <c r="AF12" s="139">
        <v>135</v>
      </c>
      <c r="AG12" s="139">
        <v>180</v>
      </c>
      <c r="AH12" s="139">
        <v>180</v>
      </c>
      <c r="AI12" s="139">
        <v>225</v>
      </c>
      <c r="AJ12" s="139">
        <v>270</v>
      </c>
      <c r="AK12" s="139">
        <v>315</v>
      </c>
      <c r="AL12" s="139">
        <v>360</v>
      </c>
    </row>
    <row r="13" spans="1:38" s="139" customFormat="1" ht="12" customHeight="1">
      <c r="A13" s="451"/>
      <c r="B13" s="141">
        <v>9</v>
      </c>
      <c r="D13" s="137"/>
      <c r="Q13" s="214">
        <f t="shared" si="0"/>
        <v>0</v>
      </c>
      <c r="R13" s="215">
        <f>Q13*I49</f>
        <v>0</v>
      </c>
      <c r="S13" s="132"/>
    </row>
    <row r="14" spans="1:38" s="139" customFormat="1" ht="12" customHeight="1">
      <c r="A14" s="451"/>
      <c r="B14" s="142">
        <v>10</v>
      </c>
      <c r="D14" s="137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4"/>
      <c r="Q14" s="214">
        <f t="shared" si="0"/>
        <v>0</v>
      </c>
      <c r="R14" s="215">
        <f>Q14*I49</f>
        <v>0</v>
      </c>
      <c r="S14" s="132"/>
    </row>
    <row r="15" spans="1:38" s="139" customFormat="1" ht="12" customHeight="1">
      <c r="A15" s="451"/>
      <c r="B15" s="141">
        <v>11</v>
      </c>
      <c r="D15" s="137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4"/>
      <c r="Q15" s="214">
        <f t="shared" si="0"/>
        <v>0</v>
      </c>
      <c r="R15" s="215">
        <f>Q15*I49</f>
        <v>0</v>
      </c>
      <c r="S15" s="132"/>
    </row>
    <row r="16" spans="1:38" s="146" customFormat="1" ht="22" customHeight="1" thickBot="1">
      <c r="A16" s="452"/>
      <c r="B16" s="145"/>
      <c r="C16" s="645" t="s">
        <v>126</v>
      </c>
      <c r="D16" s="646"/>
      <c r="E16" s="218">
        <f t="shared" ref="E16:Q16" si="1">SUM(E5:E15)</f>
        <v>0</v>
      </c>
      <c r="F16" s="218">
        <f t="shared" si="1"/>
        <v>0</v>
      </c>
      <c r="G16" s="218">
        <f t="shared" si="1"/>
        <v>0</v>
      </c>
      <c r="H16" s="218">
        <f t="shared" si="1"/>
        <v>20</v>
      </c>
      <c r="I16" s="218">
        <f t="shared" si="1"/>
        <v>30</v>
      </c>
      <c r="J16" s="218">
        <f t="shared" si="1"/>
        <v>50</v>
      </c>
      <c r="K16" s="218">
        <f t="shared" si="1"/>
        <v>50</v>
      </c>
      <c r="L16" s="218">
        <f t="shared" si="1"/>
        <v>50</v>
      </c>
      <c r="M16" s="218">
        <f t="shared" si="1"/>
        <v>50</v>
      </c>
      <c r="N16" s="218">
        <f t="shared" si="1"/>
        <v>50</v>
      </c>
      <c r="O16" s="218">
        <f t="shared" si="1"/>
        <v>50</v>
      </c>
      <c r="P16" s="219">
        <f t="shared" si="1"/>
        <v>50</v>
      </c>
      <c r="Q16" s="216">
        <f t="shared" si="1"/>
        <v>400</v>
      </c>
      <c r="R16" s="217">
        <f>SUM(R5:R15)</f>
        <v>480</v>
      </c>
      <c r="S16" s="132"/>
    </row>
    <row r="17" spans="1:25" s="198" customFormat="1" ht="12" customHeight="1"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2"/>
    </row>
    <row r="18" spans="1:25" s="200" customFormat="1" ht="33" customHeight="1" thickBot="1">
      <c r="B18" s="509"/>
      <c r="C18" s="685" t="s">
        <v>228</v>
      </c>
      <c r="D18" s="685"/>
      <c r="E18" s="685"/>
      <c r="F18" s="685"/>
      <c r="G18" s="685"/>
      <c r="H18" s="685"/>
      <c r="I18" s="685"/>
      <c r="J18" s="685"/>
      <c r="K18" s="685"/>
      <c r="L18" s="685"/>
      <c r="M18" s="685"/>
      <c r="N18" s="685"/>
      <c r="O18" s="685"/>
      <c r="P18" s="685"/>
      <c r="Q18" s="685"/>
      <c r="R18" s="685"/>
      <c r="S18" s="132"/>
      <c r="Y18" s="204">
        <v>74.586004273504287</v>
      </c>
    </row>
    <row r="19" spans="1:25" s="139" customFormat="1" ht="12" customHeight="1">
      <c r="A19" s="451"/>
      <c r="B19" s="206"/>
      <c r="C19" s="702" t="s">
        <v>229</v>
      </c>
      <c r="D19" s="703"/>
      <c r="E19" s="640" t="s">
        <v>220</v>
      </c>
      <c r="F19" s="640" t="s">
        <v>221</v>
      </c>
      <c r="G19" s="640" t="s">
        <v>220</v>
      </c>
      <c r="H19" s="640" t="s">
        <v>222</v>
      </c>
      <c r="I19" s="640" t="s">
        <v>220</v>
      </c>
      <c r="J19" s="640" t="s">
        <v>223</v>
      </c>
      <c r="K19" s="640" t="s">
        <v>220</v>
      </c>
      <c r="L19" s="640" t="s">
        <v>224</v>
      </c>
      <c r="M19" s="640" t="s">
        <v>220</v>
      </c>
      <c r="N19" s="640" t="s">
        <v>225</v>
      </c>
      <c r="O19" s="640" t="s">
        <v>220</v>
      </c>
      <c r="P19" s="640" t="s">
        <v>226</v>
      </c>
      <c r="Q19" s="651" t="s">
        <v>209</v>
      </c>
      <c r="R19" s="680" t="s">
        <v>210</v>
      </c>
      <c r="S19" s="132"/>
      <c r="Y19" s="147">
        <v>82.954545454545467</v>
      </c>
    </row>
    <row r="20" spans="1:25" s="139" customFormat="1" ht="25" customHeight="1">
      <c r="A20" s="451"/>
      <c r="B20" s="207"/>
      <c r="C20" s="704"/>
      <c r="D20" s="705"/>
      <c r="E20" s="641"/>
      <c r="F20" s="641"/>
      <c r="G20" s="641"/>
      <c r="H20" s="641"/>
      <c r="I20" s="641"/>
      <c r="J20" s="641"/>
      <c r="K20" s="641"/>
      <c r="L20" s="641"/>
      <c r="M20" s="641"/>
      <c r="N20" s="641"/>
      <c r="O20" s="641"/>
      <c r="P20" s="641"/>
      <c r="Q20" s="652"/>
      <c r="R20" s="681"/>
      <c r="S20" s="132"/>
      <c r="Y20" s="147">
        <v>79.583333333333329</v>
      </c>
    </row>
    <row r="21" spans="1:25" s="139" customFormat="1" ht="12" customHeight="1">
      <c r="A21" s="451"/>
      <c r="B21" s="189">
        <v>1</v>
      </c>
      <c r="C21" s="674" t="str">
        <f t="shared" ref="C21:C30" si="2">C5</f>
        <v>MAKİNE</v>
      </c>
      <c r="D21" s="675"/>
      <c r="E21" s="210">
        <f>D5*E5</f>
        <v>0</v>
      </c>
      <c r="F21" s="210">
        <f>D5*F5</f>
        <v>0</v>
      </c>
      <c r="G21" s="210">
        <f>D5*G5</f>
        <v>0</v>
      </c>
      <c r="H21" s="210">
        <f>D5*H5</f>
        <v>5260000</v>
      </c>
      <c r="I21" s="210">
        <f>D5*I5</f>
        <v>7890000</v>
      </c>
      <c r="J21" s="210">
        <f>D5*J5</f>
        <v>13150000</v>
      </c>
      <c r="K21" s="210">
        <f>D5*K5</f>
        <v>13150000</v>
      </c>
      <c r="L21" s="210">
        <f>D5*L5</f>
        <v>13150000</v>
      </c>
      <c r="M21" s="210">
        <f>D5*M5</f>
        <v>13150000</v>
      </c>
      <c r="N21" s="210">
        <f>D5*N5</f>
        <v>13150000</v>
      </c>
      <c r="O21" s="210">
        <f>D5*O5</f>
        <v>13150000</v>
      </c>
      <c r="P21" s="211">
        <f>D5*P5</f>
        <v>13150000</v>
      </c>
      <c r="Q21" s="212">
        <f t="shared" ref="Q21" si="3">SUM(E21:P21)</f>
        <v>105200000</v>
      </c>
      <c r="R21" s="213">
        <f>Q21*I49</f>
        <v>126240000</v>
      </c>
      <c r="S21" s="132"/>
      <c r="Y21" s="147">
        <v>65.392857142857125</v>
      </c>
    </row>
    <row r="22" spans="1:25" s="139" customFormat="1" ht="12" customHeight="1">
      <c r="A22" s="451"/>
      <c r="B22" s="189">
        <v>2</v>
      </c>
      <c r="C22" s="676">
        <f t="shared" si="2"/>
        <v>0</v>
      </c>
      <c r="D22" s="677"/>
      <c r="E22" s="210">
        <f t="shared" ref="E22:E30" si="4">D6*E6</f>
        <v>0</v>
      </c>
      <c r="F22" s="210">
        <f t="shared" ref="F22:F30" si="5">D6*F6</f>
        <v>0</v>
      </c>
      <c r="G22" s="210">
        <f t="shared" ref="G22:G30" si="6">D6*G6</f>
        <v>0</v>
      </c>
      <c r="H22" s="210">
        <f t="shared" ref="H22:H30" si="7">D6*H6</f>
        <v>0</v>
      </c>
      <c r="I22" s="210">
        <f t="shared" ref="I22:I30" si="8">D6*I6</f>
        <v>0</v>
      </c>
      <c r="J22" s="210">
        <f t="shared" ref="J22:J30" si="9">D6*J6</f>
        <v>0</v>
      </c>
      <c r="K22" s="210">
        <f t="shared" ref="K22:K30" si="10">D6*K6</f>
        <v>0</v>
      </c>
      <c r="L22" s="210">
        <f t="shared" ref="L22:L30" si="11">D6*L6</f>
        <v>0</v>
      </c>
      <c r="M22" s="210">
        <f t="shared" ref="M22:M30" si="12">D6*M6</f>
        <v>0</v>
      </c>
      <c r="N22" s="210">
        <f t="shared" ref="N22:N30" si="13">D6*N6</f>
        <v>0</v>
      </c>
      <c r="O22" s="210">
        <f t="shared" ref="O22:O30" si="14">D6*O6</f>
        <v>0</v>
      </c>
      <c r="P22" s="211">
        <f t="shared" ref="P22:P30" si="15">D6*P6</f>
        <v>0</v>
      </c>
      <c r="Q22" s="212">
        <f t="shared" ref="Q22:Q30" si="16">SUM(E22:P22)</f>
        <v>0</v>
      </c>
      <c r="R22" s="213">
        <f>Q22*I49</f>
        <v>0</v>
      </c>
      <c r="S22" s="132"/>
      <c r="Y22" s="147">
        <v>55.138888888888886</v>
      </c>
    </row>
    <row r="23" spans="1:25" s="139" customFormat="1" ht="12" customHeight="1">
      <c r="A23" s="451"/>
      <c r="B23" s="189">
        <v>3</v>
      </c>
      <c r="C23" s="676">
        <f t="shared" si="2"/>
        <v>0</v>
      </c>
      <c r="D23" s="677"/>
      <c r="E23" s="210">
        <f t="shared" si="4"/>
        <v>0</v>
      </c>
      <c r="F23" s="210">
        <f t="shared" si="5"/>
        <v>0</v>
      </c>
      <c r="G23" s="210">
        <f t="shared" si="6"/>
        <v>0</v>
      </c>
      <c r="H23" s="210">
        <f t="shared" si="7"/>
        <v>0</v>
      </c>
      <c r="I23" s="210">
        <f t="shared" si="8"/>
        <v>0</v>
      </c>
      <c r="J23" s="210">
        <f t="shared" si="9"/>
        <v>0</v>
      </c>
      <c r="K23" s="210">
        <f t="shared" si="10"/>
        <v>0</v>
      </c>
      <c r="L23" s="210">
        <f t="shared" si="11"/>
        <v>0</v>
      </c>
      <c r="M23" s="210">
        <f t="shared" si="12"/>
        <v>0</v>
      </c>
      <c r="N23" s="210">
        <f t="shared" si="13"/>
        <v>0</v>
      </c>
      <c r="O23" s="210">
        <f t="shared" si="14"/>
        <v>0</v>
      </c>
      <c r="P23" s="211">
        <f t="shared" si="15"/>
        <v>0</v>
      </c>
      <c r="Q23" s="212">
        <f t="shared" si="16"/>
        <v>0</v>
      </c>
      <c r="R23" s="213">
        <f>Q23*I49</f>
        <v>0</v>
      </c>
      <c r="S23" s="132"/>
      <c r="Y23" s="147">
        <v>81.071428571428569</v>
      </c>
    </row>
    <row r="24" spans="1:25" s="139" customFormat="1" ht="12" customHeight="1">
      <c r="A24" s="451"/>
      <c r="B24" s="189">
        <v>4</v>
      </c>
      <c r="C24" s="676">
        <f t="shared" si="2"/>
        <v>0</v>
      </c>
      <c r="D24" s="677"/>
      <c r="E24" s="210">
        <f t="shared" si="4"/>
        <v>0</v>
      </c>
      <c r="F24" s="210">
        <f t="shared" si="5"/>
        <v>0</v>
      </c>
      <c r="G24" s="210">
        <f t="shared" si="6"/>
        <v>0</v>
      </c>
      <c r="H24" s="210">
        <f t="shared" si="7"/>
        <v>0</v>
      </c>
      <c r="I24" s="210">
        <f t="shared" si="8"/>
        <v>0</v>
      </c>
      <c r="J24" s="210">
        <f t="shared" si="9"/>
        <v>0</v>
      </c>
      <c r="K24" s="210">
        <f t="shared" si="10"/>
        <v>0</v>
      </c>
      <c r="L24" s="210">
        <f t="shared" si="11"/>
        <v>0</v>
      </c>
      <c r="M24" s="210">
        <f t="shared" si="12"/>
        <v>0</v>
      </c>
      <c r="N24" s="210">
        <f t="shared" si="13"/>
        <v>0</v>
      </c>
      <c r="O24" s="210">
        <f t="shared" si="14"/>
        <v>0</v>
      </c>
      <c r="P24" s="211">
        <f t="shared" si="15"/>
        <v>0</v>
      </c>
      <c r="Q24" s="212">
        <f t="shared" si="16"/>
        <v>0</v>
      </c>
      <c r="R24" s="213">
        <f>Q24*I49</f>
        <v>0</v>
      </c>
      <c r="S24" s="132"/>
      <c r="Y24" s="147">
        <v>29.850000000000005</v>
      </c>
    </row>
    <row r="25" spans="1:25" s="139" customFormat="1" ht="12" customHeight="1">
      <c r="A25" s="451"/>
      <c r="B25" s="189">
        <v>5</v>
      </c>
      <c r="C25" s="676">
        <f t="shared" si="2"/>
        <v>0</v>
      </c>
      <c r="D25" s="677"/>
      <c r="E25" s="210">
        <f t="shared" si="4"/>
        <v>0</v>
      </c>
      <c r="F25" s="210">
        <f t="shared" si="5"/>
        <v>0</v>
      </c>
      <c r="G25" s="210">
        <f t="shared" si="6"/>
        <v>0</v>
      </c>
      <c r="H25" s="210">
        <f t="shared" si="7"/>
        <v>0</v>
      </c>
      <c r="I25" s="210">
        <f t="shared" si="8"/>
        <v>0</v>
      </c>
      <c r="J25" s="210">
        <f t="shared" si="9"/>
        <v>0</v>
      </c>
      <c r="K25" s="210">
        <f t="shared" si="10"/>
        <v>0</v>
      </c>
      <c r="L25" s="210">
        <f t="shared" si="11"/>
        <v>0</v>
      </c>
      <c r="M25" s="210">
        <f t="shared" si="12"/>
        <v>0</v>
      </c>
      <c r="N25" s="210">
        <f t="shared" si="13"/>
        <v>0</v>
      </c>
      <c r="O25" s="210">
        <f t="shared" si="14"/>
        <v>0</v>
      </c>
      <c r="P25" s="211">
        <f t="shared" si="15"/>
        <v>0</v>
      </c>
      <c r="Q25" s="212">
        <f t="shared" si="16"/>
        <v>0</v>
      </c>
      <c r="R25" s="213">
        <f>Q25*I49</f>
        <v>0</v>
      </c>
      <c r="S25" s="132"/>
      <c r="Y25" s="147">
        <v>125</v>
      </c>
    </row>
    <row r="26" spans="1:25" s="139" customFormat="1" ht="12" customHeight="1">
      <c r="A26" s="451"/>
      <c r="B26" s="189">
        <v>6</v>
      </c>
      <c r="C26" s="676">
        <f t="shared" si="2"/>
        <v>0</v>
      </c>
      <c r="D26" s="677"/>
      <c r="E26" s="210">
        <f t="shared" si="4"/>
        <v>0</v>
      </c>
      <c r="F26" s="210">
        <f t="shared" si="5"/>
        <v>0</v>
      </c>
      <c r="G26" s="210">
        <f t="shared" si="6"/>
        <v>0</v>
      </c>
      <c r="H26" s="210">
        <f t="shared" si="7"/>
        <v>0</v>
      </c>
      <c r="I26" s="210">
        <f t="shared" si="8"/>
        <v>0</v>
      </c>
      <c r="J26" s="210">
        <f t="shared" si="9"/>
        <v>0</v>
      </c>
      <c r="K26" s="210">
        <f t="shared" si="10"/>
        <v>0</v>
      </c>
      <c r="L26" s="210">
        <f t="shared" si="11"/>
        <v>0</v>
      </c>
      <c r="M26" s="210">
        <f t="shared" si="12"/>
        <v>0</v>
      </c>
      <c r="N26" s="210">
        <f t="shared" si="13"/>
        <v>0</v>
      </c>
      <c r="O26" s="210">
        <f t="shared" si="14"/>
        <v>0</v>
      </c>
      <c r="P26" s="211">
        <f t="shared" si="15"/>
        <v>0</v>
      </c>
      <c r="Q26" s="212">
        <f t="shared" si="16"/>
        <v>0</v>
      </c>
      <c r="R26" s="213">
        <f>Q26*I49</f>
        <v>0</v>
      </c>
      <c r="S26" s="132"/>
      <c r="Y26" s="147">
        <v>74.708333333333329</v>
      </c>
    </row>
    <row r="27" spans="1:25" s="139" customFormat="1" ht="12" customHeight="1">
      <c r="A27" s="451"/>
      <c r="B27" s="189">
        <v>7</v>
      </c>
      <c r="C27" s="676">
        <f t="shared" si="2"/>
        <v>0</v>
      </c>
      <c r="D27" s="677"/>
      <c r="E27" s="210">
        <f t="shared" si="4"/>
        <v>0</v>
      </c>
      <c r="F27" s="210">
        <f t="shared" si="5"/>
        <v>0</v>
      </c>
      <c r="G27" s="210">
        <f t="shared" si="6"/>
        <v>0</v>
      </c>
      <c r="H27" s="210">
        <f t="shared" si="7"/>
        <v>0</v>
      </c>
      <c r="I27" s="210">
        <f t="shared" si="8"/>
        <v>0</v>
      </c>
      <c r="J27" s="210">
        <f t="shared" si="9"/>
        <v>0</v>
      </c>
      <c r="K27" s="210">
        <f t="shared" si="10"/>
        <v>0</v>
      </c>
      <c r="L27" s="210">
        <f t="shared" si="11"/>
        <v>0</v>
      </c>
      <c r="M27" s="210">
        <f t="shared" si="12"/>
        <v>0</v>
      </c>
      <c r="N27" s="210">
        <f t="shared" si="13"/>
        <v>0</v>
      </c>
      <c r="O27" s="210">
        <f t="shared" si="14"/>
        <v>0</v>
      </c>
      <c r="P27" s="211">
        <f t="shared" si="15"/>
        <v>0</v>
      </c>
      <c r="Q27" s="212">
        <f t="shared" si="16"/>
        <v>0</v>
      </c>
      <c r="R27" s="213">
        <f>Q27*I49</f>
        <v>0</v>
      </c>
      <c r="S27" s="132"/>
    </row>
    <row r="28" spans="1:25" s="139" customFormat="1" ht="12" customHeight="1">
      <c r="A28" s="451"/>
      <c r="B28" s="189">
        <v>8</v>
      </c>
      <c r="C28" s="676">
        <f t="shared" si="2"/>
        <v>0</v>
      </c>
      <c r="D28" s="677"/>
      <c r="E28" s="210">
        <f t="shared" si="4"/>
        <v>0</v>
      </c>
      <c r="F28" s="210">
        <f t="shared" si="5"/>
        <v>0</v>
      </c>
      <c r="G28" s="210">
        <f t="shared" si="6"/>
        <v>0</v>
      </c>
      <c r="H28" s="210">
        <f t="shared" si="7"/>
        <v>0</v>
      </c>
      <c r="I28" s="210">
        <f t="shared" si="8"/>
        <v>0</v>
      </c>
      <c r="J28" s="210">
        <f t="shared" si="9"/>
        <v>0</v>
      </c>
      <c r="K28" s="210">
        <f t="shared" si="10"/>
        <v>0</v>
      </c>
      <c r="L28" s="210">
        <f t="shared" si="11"/>
        <v>0</v>
      </c>
      <c r="M28" s="210">
        <f t="shared" si="12"/>
        <v>0</v>
      </c>
      <c r="N28" s="210">
        <f t="shared" si="13"/>
        <v>0</v>
      </c>
      <c r="O28" s="210">
        <f t="shared" si="14"/>
        <v>0</v>
      </c>
      <c r="P28" s="211">
        <f t="shared" si="15"/>
        <v>0</v>
      </c>
      <c r="Q28" s="212">
        <f t="shared" si="16"/>
        <v>0</v>
      </c>
      <c r="R28" s="213">
        <f>Q28*I49</f>
        <v>0</v>
      </c>
      <c r="S28" s="132"/>
    </row>
    <row r="29" spans="1:25" s="139" customFormat="1" ht="12" customHeight="1">
      <c r="A29" s="451"/>
      <c r="B29" s="189">
        <v>9</v>
      </c>
      <c r="C29" s="676">
        <f t="shared" si="2"/>
        <v>0</v>
      </c>
      <c r="D29" s="677"/>
      <c r="E29" s="210">
        <f t="shared" si="4"/>
        <v>0</v>
      </c>
      <c r="F29" s="210">
        <f t="shared" si="5"/>
        <v>0</v>
      </c>
      <c r="G29" s="210">
        <f t="shared" si="6"/>
        <v>0</v>
      </c>
      <c r="H29" s="210">
        <f t="shared" si="7"/>
        <v>0</v>
      </c>
      <c r="I29" s="210">
        <f t="shared" si="8"/>
        <v>0</v>
      </c>
      <c r="J29" s="210">
        <f t="shared" si="9"/>
        <v>0</v>
      </c>
      <c r="K29" s="210">
        <f t="shared" si="10"/>
        <v>0</v>
      </c>
      <c r="L29" s="210">
        <f t="shared" si="11"/>
        <v>0</v>
      </c>
      <c r="M29" s="210">
        <f t="shared" si="12"/>
        <v>0</v>
      </c>
      <c r="N29" s="210">
        <f t="shared" si="13"/>
        <v>0</v>
      </c>
      <c r="O29" s="210">
        <f t="shared" si="14"/>
        <v>0</v>
      </c>
      <c r="P29" s="211">
        <f t="shared" si="15"/>
        <v>0</v>
      </c>
      <c r="Q29" s="212">
        <f t="shared" si="16"/>
        <v>0</v>
      </c>
      <c r="R29" s="213">
        <f>Q29*I49</f>
        <v>0</v>
      </c>
      <c r="S29" s="132"/>
    </row>
    <row r="30" spans="1:25" s="139" customFormat="1" ht="12" customHeight="1">
      <c r="A30" s="451"/>
      <c r="B30" s="189">
        <v>10</v>
      </c>
      <c r="C30" s="674">
        <f t="shared" si="2"/>
        <v>0</v>
      </c>
      <c r="D30" s="675"/>
      <c r="E30" s="210">
        <f t="shared" si="4"/>
        <v>0</v>
      </c>
      <c r="F30" s="210">
        <f t="shared" si="5"/>
        <v>0</v>
      </c>
      <c r="G30" s="210">
        <f t="shared" si="6"/>
        <v>0</v>
      </c>
      <c r="H30" s="210">
        <f t="shared" si="7"/>
        <v>0</v>
      </c>
      <c r="I30" s="210">
        <f t="shared" si="8"/>
        <v>0</v>
      </c>
      <c r="J30" s="210">
        <f t="shared" si="9"/>
        <v>0</v>
      </c>
      <c r="K30" s="210">
        <f t="shared" si="10"/>
        <v>0</v>
      </c>
      <c r="L30" s="210">
        <f t="shared" si="11"/>
        <v>0</v>
      </c>
      <c r="M30" s="210">
        <f t="shared" si="12"/>
        <v>0</v>
      </c>
      <c r="N30" s="210">
        <f t="shared" si="13"/>
        <v>0</v>
      </c>
      <c r="O30" s="210">
        <f t="shared" si="14"/>
        <v>0</v>
      </c>
      <c r="P30" s="211">
        <f t="shared" si="15"/>
        <v>0</v>
      </c>
      <c r="Q30" s="212">
        <f t="shared" si="16"/>
        <v>0</v>
      </c>
      <c r="R30" s="213">
        <f>Q30*I49</f>
        <v>0</v>
      </c>
      <c r="S30" s="132"/>
    </row>
    <row r="31" spans="1:25" s="146" customFormat="1" ht="22" customHeight="1" thickBot="1">
      <c r="A31" s="452"/>
      <c r="B31" s="192" t="s">
        <v>127</v>
      </c>
      <c r="C31" s="701" t="s">
        <v>126</v>
      </c>
      <c r="D31" s="657"/>
      <c r="E31" s="220">
        <f t="shared" ref="E31:Q31" si="17">SUM(E21:E30)</f>
        <v>0</v>
      </c>
      <c r="F31" s="220">
        <f t="shared" si="17"/>
        <v>0</v>
      </c>
      <c r="G31" s="220">
        <f t="shared" si="17"/>
        <v>0</v>
      </c>
      <c r="H31" s="220">
        <f t="shared" si="17"/>
        <v>5260000</v>
      </c>
      <c r="I31" s="220">
        <f t="shared" si="17"/>
        <v>7890000</v>
      </c>
      <c r="J31" s="220">
        <f t="shared" si="17"/>
        <v>13150000</v>
      </c>
      <c r="K31" s="220">
        <f t="shared" si="17"/>
        <v>13150000</v>
      </c>
      <c r="L31" s="220">
        <f t="shared" si="17"/>
        <v>13150000</v>
      </c>
      <c r="M31" s="220">
        <f t="shared" si="17"/>
        <v>13150000</v>
      </c>
      <c r="N31" s="220">
        <f t="shared" si="17"/>
        <v>13150000</v>
      </c>
      <c r="O31" s="220">
        <f t="shared" si="17"/>
        <v>13150000</v>
      </c>
      <c r="P31" s="221">
        <f t="shared" si="17"/>
        <v>13150000</v>
      </c>
      <c r="Q31" s="216">
        <f t="shared" si="17"/>
        <v>105200000</v>
      </c>
      <c r="R31" s="217">
        <f>SUM(R21:R30)</f>
        <v>126240000</v>
      </c>
      <c r="S31" s="132"/>
    </row>
    <row r="32" spans="1:25" s="198" customFormat="1" ht="14" customHeight="1">
      <c r="B32" s="131"/>
      <c r="C32" s="131"/>
      <c r="D32" s="131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131"/>
      <c r="S32" s="132"/>
    </row>
    <row r="33" spans="1:19" s="198" customFormat="1" ht="32" customHeight="1" thickBot="1">
      <c r="B33" s="131"/>
      <c r="C33" s="685" t="s">
        <v>98</v>
      </c>
      <c r="D33" s="685"/>
      <c r="E33" s="685"/>
      <c r="F33" s="685"/>
      <c r="G33" s="685"/>
      <c r="H33" s="685"/>
      <c r="I33" s="685"/>
      <c r="J33" s="685"/>
      <c r="K33" s="685"/>
      <c r="L33" s="685"/>
      <c r="M33" s="685"/>
      <c r="N33" s="685"/>
      <c r="O33" s="685"/>
      <c r="P33" s="685"/>
      <c r="Q33" s="685"/>
      <c r="R33" s="685"/>
      <c r="S33" s="132"/>
    </row>
    <row r="34" spans="1:19" ht="12" customHeight="1">
      <c r="B34" s="631"/>
      <c r="C34" s="672" t="s">
        <v>229</v>
      </c>
      <c r="D34" s="640" t="s">
        <v>198</v>
      </c>
      <c r="E34" s="640">
        <v>1</v>
      </c>
      <c r="F34" s="640">
        <v>2</v>
      </c>
      <c r="G34" s="640">
        <v>3</v>
      </c>
      <c r="H34" s="640">
        <v>4</v>
      </c>
      <c r="I34" s="640">
        <v>5</v>
      </c>
      <c r="J34" s="640">
        <v>6</v>
      </c>
      <c r="K34" s="640">
        <v>7</v>
      </c>
      <c r="L34" s="640">
        <v>8</v>
      </c>
      <c r="M34" s="640">
        <v>9</v>
      </c>
      <c r="N34" s="640">
        <v>10</v>
      </c>
      <c r="O34" s="640">
        <v>11</v>
      </c>
      <c r="P34" s="654">
        <v>12</v>
      </c>
      <c r="Q34" s="651" t="s">
        <v>209</v>
      </c>
      <c r="R34" s="680" t="s">
        <v>210</v>
      </c>
      <c r="S34" s="132"/>
    </row>
    <row r="35" spans="1:19" ht="32" customHeight="1">
      <c r="B35" s="632"/>
      <c r="C35" s="673"/>
      <c r="D35" s="641"/>
      <c r="E35" s="641"/>
      <c r="F35" s="641"/>
      <c r="G35" s="641"/>
      <c r="H35" s="641"/>
      <c r="I35" s="641"/>
      <c r="J35" s="641"/>
      <c r="K35" s="641"/>
      <c r="L35" s="641"/>
      <c r="M35" s="641"/>
      <c r="N35" s="641"/>
      <c r="O35" s="641"/>
      <c r="P35" s="655"/>
      <c r="Q35" s="652"/>
      <c r="R35" s="681"/>
      <c r="S35" s="132"/>
    </row>
    <row r="36" spans="1:19" ht="26">
      <c r="B36" s="189">
        <v>1</v>
      </c>
      <c r="C36" s="193" t="s">
        <v>199</v>
      </c>
      <c r="D36" s="150">
        <v>0</v>
      </c>
      <c r="E36" s="222">
        <f>+E31*D36</f>
        <v>0</v>
      </c>
      <c r="F36" s="210">
        <f>+F31*D36</f>
        <v>0</v>
      </c>
      <c r="G36" s="210">
        <f>+G31*D36</f>
        <v>0</v>
      </c>
      <c r="H36" s="210">
        <f>+H31*D36</f>
        <v>0</v>
      </c>
      <c r="I36" s="210">
        <f>+I31*D36</f>
        <v>0</v>
      </c>
      <c r="J36" s="210">
        <f>+J31*D36</f>
        <v>0</v>
      </c>
      <c r="K36" s="210">
        <f>+K31*D36</f>
        <v>0</v>
      </c>
      <c r="L36" s="210">
        <f>+L31*D36</f>
        <v>0</v>
      </c>
      <c r="M36" s="210">
        <f>+M31*D36</f>
        <v>0</v>
      </c>
      <c r="N36" s="210">
        <f>+N31*D36</f>
        <v>0</v>
      </c>
      <c r="O36" s="210">
        <f>+O31*D36</f>
        <v>0</v>
      </c>
      <c r="P36" s="211">
        <f>+P31*D36</f>
        <v>0</v>
      </c>
      <c r="Q36" s="223">
        <f>+SUM(E36:P36)</f>
        <v>0</v>
      </c>
      <c r="R36" s="224">
        <f>Q36*I49</f>
        <v>0</v>
      </c>
      <c r="S36" s="132"/>
    </row>
    <row r="37" spans="1:19">
      <c r="B37" s="189">
        <v>2</v>
      </c>
      <c r="C37" s="194" t="s">
        <v>216</v>
      </c>
      <c r="D37" s="152"/>
      <c r="E37" s="151">
        <f>('6. Finansal Plan'!E58*'6. Finansal Plan'!G58)+('6. Finansal Plan'!E59*'6. Finansal Plan'!G59)</f>
        <v>188000</v>
      </c>
      <c r="F37" s="148">
        <f>E37</f>
        <v>188000</v>
      </c>
      <c r="G37" s="148">
        <f>F37</f>
        <v>188000</v>
      </c>
      <c r="H37" s="148">
        <f>G37</f>
        <v>188000</v>
      </c>
      <c r="I37" s="148">
        <f>H37</f>
        <v>188000</v>
      </c>
      <c r="J37" s="148">
        <f>I37</f>
        <v>188000</v>
      </c>
      <c r="K37" s="148">
        <f>('6. Finansal Plan'!F58*'6. Finansal Plan'!G58)+('6. Finansal Plan'!F59*'6. Finansal Plan'!G59)</f>
        <v>282000</v>
      </c>
      <c r="L37" s="148">
        <f>K37</f>
        <v>282000</v>
      </c>
      <c r="M37" s="148">
        <f>K37</f>
        <v>282000</v>
      </c>
      <c r="N37" s="148">
        <f>K37</f>
        <v>282000</v>
      </c>
      <c r="O37" s="148">
        <f>K37</f>
        <v>282000</v>
      </c>
      <c r="P37" s="149">
        <f>K37</f>
        <v>282000</v>
      </c>
      <c r="Q37" s="223">
        <f>SUM(E37:P37)</f>
        <v>2820000</v>
      </c>
      <c r="R37" s="224">
        <f>Q37*I49</f>
        <v>3384000</v>
      </c>
      <c r="S37" s="132"/>
    </row>
    <row r="38" spans="1:19">
      <c r="B38" s="190">
        <v>3</v>
      </c>
      <c r="C38" s="194" t="s">
        <v>217</v>
      </c>
      <c r="D38" s="152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223">
        <f>SUM(E38:P38)</f>
        <v>0</v>
      </c>
      <c r="R38" s="224">
        <f>Q38*I49</f>
        <v>0</v>
      </c>
      <c r="S38" s="132"/>
    </row>
    <row r="39" spans="1:19">
      <c r="B39" s="190">
        <v>4</v>
      </c>
      <c r="C39" s="194" t="s">
        <v>213</v>
      </c>
      <c r="D39" s="152">
        <v>0.02</v>
      </c>
      <c r="E39" s="222">
        <v>100000</v>
      </c>
      <c r="F39" s="222">
        <v>100000</v>
      </c>
      <c r="G39" s="222">
        <v>100000</v>
      </c>
      <c r="H39" s="210">
        <v>400000</v>
      </c>
      <c r="I39" s="210">
        <v>550000</v>
      </c>
      <c r="J39" s="210">
        <v>750000</v>
      </c>
      <c r="K39" s="210">
        <v>750000</v>
      </c>
      <c r="L39" s="210">
        <v>750000</v>
      </c>
      <c r="M39" s="210">
        <v>750000</v>
      </c>
      <c r="N39" s="210">
        <v>750000</v>
      </c>
      <c r="O39" s="210">
        <v>750000</v>
      </c>
      <c r="P39" s="210">
        <v>750000</v>
      </c>
      <c r="Q39" s="223">
        <f>+SUM(E39:P39)</f>
        <v>6500000</v>
      </c>
      <c r="R39" s="224">
        <f>Q39*I49</f>
        <v>7800000</v>
      </c>
      <c r="S39" s="132"/>
    </row>
    <row r="40" spans="1:19">
      <c r="B40" s="190">
        <v>5</v>
      </c>
      <c r="C40" s="194" t="s">
        <v>218</v>
      </c>
      <c r="D40" s="152">
        <v>0.03</v>
      </c>
      <c r="E40" s="225">
        <f>+E31*D40</f>
        <v>0</v>
      </c>
      <c r="F40" s="225">
        <f>+F31*D40</f>
        <v>0</v>
      </c>
      <c r="G40" s="225">
        <f>+G31*D40</f>
        <v>0</v>
      </c>
      <c r="H40" s="225">
        <f>+H31*D40</f>
        <v>157800</v>
      </c>
      <c r="I40" s="225">
        <f>+I31*D40</f>
        <v>236700</v>
      </c>
      <c r="J40" s="225">
        <f>+J31*D40</f>
        <v>394500</v>
      </c>
      <c r="K40" s="225">
        <f>+K31*D40</f>
        <v>394500</v>
      </c>
      <c r="L40" s="225">
        <f>+L31*D40</f>
        <v>394500</v>
      </c>
      <c r="M40" s="225">
        <f>+M31*D40</f>
        <v>394500</v>
      </c>
      <c r="N40" s="225">
        <f>+N31*D40</f>
        <v>394500</v>
      </c>
      <c r="O40" s="225">
        <f>+O31*D40</f>
        <v>394500</v>
      </c>
      <c r="P40" s="226">
        <f>+P31*D40</f>
        <v>394500</v>
      </c>
      <c r="Q40" s="223">
        <f t="shared" ref="Q40:Q43" si="18">SUM(E40:P40)</f>
        <v>3156000</v>
      </c>
      <c r="R40" s="224">
        <f>Q40*I49</f>
        <v>3787200</v>
      </c>
      <c r="S40" s="132"/>
    </row>
    <row r="41" spans="1:19" s="155" customFormat="1">
      <c r="A41" s="453"/>
      <c r="B41" s="191">
        <v>6</v>
      </c>
      <c r="C41" s="195" t="s">
        <v>214</v>
      </c>
      <c r="D41" s="154"/>
      <c r="E41" s="153">
        <v>20000</v>
      </c>
      <c r="F41" s="153">
        <v>20000</v>
      </c>
      <c r="G41" s="153">
        <v>20000</v>
      </c>
      <c r="H41" s="153">
        <v>20000</v>
      </c>
      <c r="I41" s="153">
        <v>20000</v>
      </c>
      <c r="J41" s="153">
        <v>20000</v>
      </c>
      <c r="K41" s="153">
        <v>20000</v>
      </c>
      <c r="L41" s="153">
        <v>20000</v>
      </c>
      <c r="M41" s="153">
        <v>20000</v>
      </c>
      <c r="N41" s="153">
        <v>20000</v>
      </c>
      <c r="O41" s="153">
        <v>20000</v>
      </c>
      <c r="P41" s="153">
        <v>20000</v>
      </c>
      <c r="Q41" s="223">
        <f t="shared" si="18"/>
        <v>240000</v>
      </c>
      <c r="R41" s="224">
        <f>Q41*I49</f>
        <v>288000</v>
      </c>
      <c r="S41" s="202"/>
    </row>
    <row r="42" spans="1:19" s="155" customFormat="1">
      <c r="A42" s="453"/>
      <c r="B42" s="191">
        <v>7</v>
      </c>
      <c r="C42" s="196" t="s">
        <v>219</v>
      </c>
      <c r="D42" s="156">
        <v>0.22</v>
      </c>
      <c r="E42" s="225">
        <f>((E31-(E36+E37+E38+E39+E40+E41))*D42)</f>
        <v>-67760</v>
      </c>
      <c r="F42" s="225">
        <f>((F31-(F36+F37+F38+F39+F40+F41))*D42)</f>
        <v>-67760</v>
      </c>
      <c r="G42" s="225">
        <f>((G31-(G36+G37+G38+G39+G40+G41))*D42)</f>
        <v>-67760</v>
      </c>
      <c r="H42" s="225">
        <f>((H31-(H36+H37+H38+H39+H40+H41))*D42)</f>
        <v>988724</v>
      </c>
      <c r="I42" s="225">
        <f>((I31-(I36+I37+I38+I39+I40+I41))*D42)</f>
        <v>1516966</v>
      </c>
      <c r="J42" s="225">
        <f>((J31-(J36+J37+J38+J39+J40+J41))*D42)</f>
        <v>2595450</v>
      </c>
      <c r="K42" s="225">
        <f>((K31-(K36+K37+K38+K39+K40+K41))*D42)</f>
        <v>2574770</v>
      </c>
      <c r="L42" s="225">
        <f>((L31-(L36+L37+L38+L39+L40+L41))*D42)</f>
        <v>2574770</v>
      </c>
      <c r="M42" s="225">
        <f>((M31-(M36+M37+M38+M39+M40+M41))*D42)</f>
        <v>2574770</v>
      </c>
      <c r="N42" s="225">
        <f>((N31-(N36+N37+N38+N39+N40+N41))*D42)</f>
        <v>2574770</v>
      </c>
      <c r="O42" s="225">
        <f>((O31-(O36+O37+O38+O39+O40+O41))*D42)</f>
        <v>2574770</v>
      </c>
      <c r="P42" s="225">
        <f>((P31-(P36+P37+P38+P39+P40+P41))*D42)</f>
        <v>2574770</v>
      </c>
      <c r="Q42" s="223">
        <f>SUM(E42:P42)</f>
        <v>20346480</v>
      </c>
      <c r="R42" s="224">
        <f>Q42*I49</f>
        <v>24415776</v>
      </c>
      <c r="S42" s="202"/>
    </row>
    <row r="43" spans="1:19">
      <c r="B43" s="190">
        <v>8</v>
      </c>
      <c r="C43" s="197" t="s">
        <v>215</v>
      </c>
      <c r="D43" s="157">
        <v>0.1</v>
      </c>
      <c r="E43" s="225">
        <f>+E31*D43</f>
        <v>0</v>
      </c>
      <c r="F43" s="225">
        <f>+F31*D43</f>
        <v>0</v>
      </c>
      <c r="G43" s="225">
        <f>+G31*D43</f>
        <v>0</v>
      </c>
      <c r="H43" s="225">
        <f>+H31*D43</f>
        <v>526000</v>
      </c>
      <c r="I43" s="225">
        <f>+I31*D43</f>
        <v>789000</v>
      </c>
      <c r="J43" s="225">
        <f>+J31*D43</f>
        <v>1315000</v>
      </c>
      <c r="K43" s="225">
        <f>+K31*D43</f>
        <v>1315000</v>
      </c>
      <c r="L43" s="225">
        <f>+L31*D43</f>
        <v>1315000</v>
      </c>
      <c r="M43" s="225">
        <f>+M31*D43</f>
        <v>1315000</v>
      </c>
      <c r="N43" s="225">
        <f>+N31*D43</f>
        <v>1315000</v>
      </c>
      <c r="O43" s="225">
        <f>+O31*D43</f>
        <v>1315000</v>
      </c>
      <c r="P43" s="226">
        <f>+P31*D43</f>
        <v>1315000</v>
      </c>
      <c r="Q43" s="223">
        <f t="shared" si="18"/>
        <v>10520000</v>
      </c>
      <c r="R43" s="224">
        <f>Q43*I49</f>
        <v>12624000</v>
      </c>
      <c r="S43" s="132"/>
    </row>
    <row r="44" spans="1:19" ht="24" customHeight="1" thickBot="1">
      <c r="B44" s="192"/>
      <c r="C44" s="642" t="s">
        <v>126</v>
      </c>
      <c r="D44" s="643"/>
      <c r="E44" s="227">
        <f t="shared" ref="E44:R44" si="19">SUM(E36:E43)</f>
        <v>240240</v>
      </c>
      <c r="F44" s="227">
        <f t="shared" si="19"/>
        <v>240240</v>
      </c>
      <c r="G44" s="227">
        <f t="shared" si="19"/>
        <v>240240</v>
      </c>
      <c r="H44" s="227">
        <f t="shared" si="19"/>
        <v>2280524</v>
      </c>
      <c r="I44" s="227">
        <f t="shared" si="19"/>
        <v>3300666</v>
      </c>
      <c r="J44" s="227">
        <f t="shared" si="19"/>
        <v>5262950</v>
      </c>
      <c r="K44" s="227">
        <f t="shared" si="19"/>
        <v>5336270</v>
      </c>
      <c r="L44" s="227">
        <f t="shared" si="19"/>
        <v>5336270</v>
      </c>
      <c r="M44" s="227">
        <f t="shared" si="19"/>
        <v>5336270</v>
      </c>
      <c r="N44" s="227">
        <f t="shared" si="19"/>
        <v>5336270</v>
      </c>
      <c r="O44" s="227">
        <f t="shared" si="19"/>
        <v>5336270</v>
      </c>
      <c r="P44" s="228">
        <f t="shared" si="19"/>
        <v>5336270</v>
      </c>
      <c r="Q44" s="229">
        <f t="shared" si="19"/>
        <v>43582480</v>
      </c>
      <c r="R44" s="230">
        <f t="shared" si="19"/>
        <v>52298976</v>
      </c>
      <c r="S44" s="132"/>
    </row>
    <row r="45" spans="1:19" s="198" customFormat="1" ht="15" customHeight="1"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2"/>
    </row>
    <row r="46" spans="1:19" ht="24" customHeight="1" thickBot="1">
      <c r="B46" s="509"/>
      <c r="C46" s="644"/>
      <c r="D46" s="644"/>
      <c r="E46" s="653" t="s">
        <v>124</v>
      </c>
      <c r="F46" s="653"/>
      <c r="G46" s="653"/>
      <c r="H46" s="653"/>
      <c r="I46" s="653"/>
      <c r="J46" s="653"/>
      <c r="K46" s="653"/>
      <c r="L46" s="653"/>
      <c r="M46" s="653"/>
      <c r="N46" s="653"/>
      <c r="O46" s="653"/>
      <c r="P46" s="653"/>
      <c r="Q46" s="200"/>
      <c r="R46" s="200"/>
      <c r="S46" s="132"/>
    </row>
    <row r="47" spans="1:19" ht="24" customHeight="1" thickBot="1">
      <c r="B47" s="509"/>
      <c r="C47" s="647" t="s">
        <v>230</v>
      </c>
      <c r="D47" s="648"/>
      <c r="E47" s="185">
        <f t="shared" ref="E47:R47" si="20">+E31-E44</f>
        <v>-240240</v>
      </c>
      <c r="F47" s="185">
        <f t="shared" si="20"/>
        <v>-240240</v>
      </c>
      <c r="G47" s="185">
        <f t="shared" si="20"/>
        <v>-240240</v>
      </c>
      <c r="H47" s="185">
        <f t="shared" si="20"/>
        <v>2979476</v>
      </c>
      <c r="I47" s="185">
        <f t="shared" si="20"/>
        <v>4589334</v>
      </c>
      <c r="J47" s="185">
        <f t="shared" si="20"/>
        <v>7887050</v>
      </c>
      <c r="K47" s="185">
        <f t="shared" si="20"/>
        <v>7813730</v>
      </c>
      <c r="L47" s="185">
        <f t="shared" si="20"/>
        <v>7813730</v>
      </c>
      <c r="M47" s="185">
        <f t="shared" si="20"/>
        <v>7813730</v>
      </c>
      <c r="N47" s="185">
        <f t="shared" si="20"/>
        <v>7813730</v>
      </c>
      <c r="O47" s="185">
        <f t="shared" si="20"/>
        <v>7813730</v>
      </c>
      <c r="P47" s="186">
        <f t="shared" si="20"/>
        <v>7813730</v>
      </c>
      <c r="Q47" s="187">
        <f t="shared" si="20"/>
        <v>61617520</v>
      </c>
      <c r="R47" s="188">
        <f t="shared" si="20"/>
        <v>73941024</v>
      </c>
      <c r="S47" s="132"/>
    </row>
    <row r="48" spans="1:19" s="198" customFormat="1" ht="24" customHeight="1" thickBot="1">
      <c r="B48" s="509"/>
      <c r="C48" s="131"/>
      <c r="D48" s="131"/>
      <c r="E48" s="199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2"/>
    </row>
    <row r="49" spans="2:19" ht="40" customHeight="1" thickBot="1">
      <c r="B49" s="649" t="s">
        <v>240</v>
      </c>
      <c r="C49" s="650"/>
      <c r="D49" s="650"/>
      <c r="E49" s="650"/>
      <c r="F49" s="650"/>
      <c r="G49" s="684" t="s">
        <v>128</v>
      </c>
      <c r="H49" s="684"/>
      <c r="I49" s="161">
        <v>1.2</v>
      </c>
      <c r="J49" s="131"/>
      <c r="K49" s="131"/>
      <c r="L49" s="131"/>
      <c r="M49" s="131"/>
      <c r="N49" s="131"/>
      <c r="O49" s="131"/>
      <c r="P49" s="131"/>
      <c r="Q49" s="131"/>
      <c r="R49" s="131"/>
      <c r="S49" s="132"/>
    </row>
    <row r="50" spans="2:19" ht="19">
      <c r="B50" s="162"/>
      <c r="C50" s="668" t="s">
        <v>129</v>
      </c>
      <c r="D50" s="669"/>
      <c r="E50" s="695" t="s">
        <v>130</v>
      </c>
      <c r="F50" s="695"/>
      <c r="G50" s="695"/>
      <c r="H50" s="695"/>
      <c r="I50" s="696"/>
      <c r="J50" s="131"/>
      <c r="K50" s="131"/>
      <c r="L50" s="131"/>
      <c r="M50" s="131"/>
      <c r="N50" s="131"/>
      <c r="O50" s="131"/>
      <c r="P50" s="131"/>
      <c r="Q50" s="131"/>
      <c r="R50" s="131"/>
      <c r="S50" s="132"/>
    </row>
    <row r="51" spans="2:19" ht="19">
      <c r="B51" s="163"/>
      <c r="C51" s="670"/>
      <c r="D51" s="671"/>
      <c r="E51" s="164">
        <v>1</v>
      </c>
      <c r="F51" s="164">
        <v>2</v>
      </c>
      <c r="G51" s="164">
        <v>3</v>
      </c>
      <c r="H51" s="164">
        <v>4</v>
      </c>
      <c r="I51" s="165">
        <v>5</v>
      </c>
      <c r="J51" s="131"/>
      <c r="K51" s="131"/>
      <c r="L51" s="131"/>
      <c r="M51" s="131"/>
      <c r="N51" s="131"/>
      <c r="O51" s="131"/>
      <c r="P51" s="131"/>
      <c r="Q51" s="131"/>
      <c r="R51" s="131"/>
      <c r="S51" s="132"/>
    </row>
    <row r="52" spans="2:19">
      <c r="B52" s="166">
        <v>1</v>
      </c>
      <c r="C52" s="662" t="str">
        <f t="shared" ref="C52:C60" si="21">C5</f>
        <v>MAKİNE</v>
      </c>
      <c r="D52" s="663"/>
      <c r="E52" s="167">
        <f t="shared" ref="E52:E60" si="22">Q5</f>
        <v>400</v>
      </c>
      <c r="F52" s="168">
        <f>E52*I49</f>
        <v>480</v>
      </c>
      <c r="G52" s="168">
        <f>F52*I49</f>
        <v>576</v>
      </c>
      <c r="H52" s="168">
        <f>G52*I49</f>
        <v>691.19999999999993</v>
      </c>
      <c r="I52" s="169">
        <f>H52*I49</f>
        <v>829.43999999999994</v>
      </c>
      <c r="J52" s="131"/>
      <c r="K52" s="131"/>
      <c r="L52" s="131"/>
      <c r="M52" s="131"/>
      <c r="N52" s="131"/>
      <c r="O52" s="131"/>
      <c r="P52" s="131"/>
      <c r="Q52" s="131"/>
      <c r="R52" s="131"/>
      <c r="S52" s="132"/>
    </row>
    <row r="53" spans="2:19">
      <c r="B53" s="159">
        <v>2</v>
      </c>
      <c r="C53" s="636">
        <f t="shared" si="21"/>
        <v>0</v>
      </c>
      <c r="D53" s="637"/>
      <c r="E53" s="170">
        <f t="shared" si="22"/>
        <v>0</v>
      </c>
      <c r="F53" s="168">
        <f>E53*I49</f>
        <v>0</v>
      </c>
      <c r="G53" s="168">
        <f>F53*I49</f>
        <v>0</v>
      </c>
      <c r="H53" s="168">
        <f>G53*I49</f>
        <v>0</v>
      </c>
      <c r="I53" s="169">
        <f>H53*I49</f>
        <v>0</v>
      </c>
      <c r="J53" s="131"/>
      <c r="K53" s="131"/>
      <c r="L53" s="131"/>
      <c r="M53" s="131"/>
      <c r="N53" s="131"/>
      <c r="O53" s="131"/>
      <c r="P53" s="131"/>
      <c r="Q53" s="131"/>
      <c r="R53" s="131"/>
      <c r="S53" s="132"/>
    </row>
    <row r="54" spans="2:19">
      <c r="B54" s="166">
        <v>3</v>
      </c>
      <c r="C54" s="636">
        <f t="shared" si="21"/>
        <v>0</v>
      </c>
      <c r="D54" s="637"/>
      <c r="E54" s="170">
        <f t="shared" si="22"/>
        <v>0</v>
      </c>
      <c r="F54" s="168">
        <f>E54*I49</f>
        <v>0</v>
      </c>
      <c r="G54" s="168">
        <f>F54*I49</f>
        <v>0</v>
      </c>
      <c r="H54" s="168">
        <f>G54*I49</f>
        <v>0</v>
      </c>
      <c r="I54" s="169">
        <f>H54*I49</f>
        <v>0</v>
      </c>
      <c r="J54" s="131"/>
      <c r="K54" s="131"/>
      <c r="L54" s="131"/>
      <c r="M54" s="131"/>
      <c r="N54" s="131"/>
      <c r="O54" s="131"/>
      <c r="P54" s="131"/>
      <c r="Q54" s="131"/>
      <c r="R54" s="131"/>
      <c r="S54" s="132"/>
    </row>
    <row r="55" spans="2:19">
      <c r="B55" s="159">
        <v>4</v>
      </c>
      <c r="C55" s="636">
        <f t="shared" si="21"/>
        <v>0</v>
      </c>
      <c r="D55" s="637"/>
      <c r="E55" s="170">
        <f t="shared" si="22"/>
        <v>0</v>
      </c>
      <c r="F55" s="168">
        <f>E55*I49</f>
        <v>0</v>
      </c>
      <c r="G55" s="168">
        <f>F55*I49</f>
        <v>0</v>
      </c>
      <c r="H55" s="168">
        <f>G55*I49</f>
        <v>0</v>
      </c>
      <c r="I55" s="169">
        <f>H55*I49</f>
        <v>0</v>
      </c>
      <c r="J55" s="131"/>
      <c r="K55" s="131"/>
      <c r="L55" s="131"/>
      <c r="M55" s="131"/>
      <c r="N55" s="131"/>
      <c r="O55" s="131"/>
      <c r="P55" s="131"/>
      <c r="Q55" s="131"/>
      <c r="R55" s="131"/>
      <c r="S55" s="132"/>
    </row>
    <row r="56" spans="2:19">
      <c r="B56" s="166">
        <v>5</v>
      </c>
      <c r="C56" s="636">
        <f t="shared" si="21"/>
        <v>0</v>
      </c>
      <c r="D56" s="637"/>
      <c r="E56" s="170">
        <f t="shared" si="22"/>
        <v>0</v>
      </c>
      <c r="F56" s="168">
        <f>E56*I49</f>
        <v>0</v>
      </c>
      <c r="G56" s="168">
        <f>F56*I49</f>
        <v>0</v>
      </c>
      <c r="H56" s="168">
        <f>G56*I49</f>
        <v>0</v>
      </c>
      <c r="I56" s="169">
        <f>H56*I49</f>
        <v>0</v>
      </c>
      <c r="J56" s="131"/>
      <c r="K56" s="131"/>
      <c r="L56" s="131"/>
      <c r="M56" s="131"/>
      <c r="N56" s="131"/>
      <c r="O56" s="131"/>
      <c r="P56" s="131"/>
      <c r="Q56" s="131"/>
      <c r="R56" s="131"/>
      <c r="S56" s="132"/>
    </row>
    <row r="57" spans="2:19">
      <c r="B57" s="159">
        <v>6</v>
      </c>
      <c r="C57" s="636">
        <f t="shared" si="21"/>
        <v>0</v>
      </c>
      <c r="D57" s="637"/>
      <c r="E57" s="170">
        <f t="shared" si="22"/>
        <v>0</v>
      </c>
      <c r="F57" s="168">
        <f>E57*I49</f>
        <v>0</v>
      </c>
      <c r="G57" s="168">
        <f>F57*I49</f>
        <v>0</v>
      </c>
      <c r="H57" s="168">
        <f>G57*I49</f>
        <v>0</v>
      </c>
      <c r="I57" s="169">
        <f>H57*I49</f>
        <v>0</v>
      </c>
      <c r="J57" s="131"/>
      <c r="K57" s="131"/>
      <c r="L57" s="131"/>
      <c r="M57" s="131"/>
      <c r="N57" s="131"/>
      <c r="O57" s="131"/>
      <c r="P57" s="131"/>
      <c r="Q57" s="131"/>
      <c r="R57" s="131"/>
      <c r="S57" s="132"/>
    </row>
    <row r="58" spans="2:19">
      <c r="B58" s="166">
        <v>7</v>
      </c>
      <c r="C58" s="636">
        <f t="shared" si="21"/>
        <v>0</v>
      </c>
      <c r="D58" s="637"/>
      <c r="E58" s="170">
        <f t="shared" si="22"/>
        <v>0</v>
      </c>
      <c r="F58" s="168">
        <f>E58*I49</f>
        <v>0</v>
      </c>
      <c r="G58" s="168">
        <f>F58*I49</f>
        <v>0</v>
      </c>
      <c r="H58" s="168">
        <f>G58*I49</f>
        <v>0</v>
      </c>
      <c r="I58" s="169">
        <f>H58*I49</f>
        <v>0</v>
      </c>
      <c r="J58" s="131"/>
      <c r="K58" s="131"/>
      <c r="L58" s="131"/>
      <c r="M58" s="131"/>
      <c r="N58" s="131"/>
      <c r="O58" s="131"/>
      <c r="P58" s="131"/>
      <c r="Q58" s="131"/>
      <c r="R58" s="131"/>
      <c r="S58" s="132"/>
    </row>
    <row r="59" spans="2:19">
      <c r="B59" s="159">
        <v>8</v>
      </c>
      <c r="C59" s="636">
        <f t="shared" si="21"/>
        <v>0</v>
      </c>
      <c r="D59" s="637"/>
      <c r="E59" s="170">
        <f t="shared" si="22"/>
        <v>0</v>
      </c>
      <c r="F59" s="168">
        <f>E59*I49</f>
        <v>0</v>
      </c>
      <c r="G59" s="168">
        <f>F59*I49</f>
        <v>0</v>
      </c>
      <c r="H59" s="168">
        <f>G59*I49</f>
        <v>0</v>
      </c>
      <c r="I59" s="169">
        <f>H59*I49</f>
        <v>0</v>
      </c>
      <c r="J59" s="131"/>
      <c r="K59" s="131"/>
      <c r="L59" s="131"/>
      <c r="M59" s="131"/>
      <c r="N59" s="131"/>
      <c r="O59" s="131"/>
      <c r="P59" s="131"/>
      <c r="Q59" s="131"/>
      <c r="R59" s="131"/>
      <c r="S59" s="132"/>
    </row>
    <row r="60" spans="2:19">
      <c r="B60" s="166">
        <v>9</v>
      </c>
      <c r="C60" s="636">
        <f t="shared" si="21"/>
        <v>0</v>
      </c>
      <c r="D60" s="637"/>
      <c r="E60" s="170">
        <f t="shared" si="22"/>
        <v>0</v>
      </c>
      <c r="F60" s="168">
        <f>E60*I49</f>
        <v>0</v>
      </c>
      <c r="G60" s="168">
        <f>F60*I49</f>
        <v>0</v>
      </c>
      <c r="H60" s="168">
        <f>G60*I49</f>
        <v>0</v>
      </c>
      <c r="I60" s="169">
        <f>H60*I49</f>
        <v>0</v>
      </c>
      <c r="J60" s="131"/>
      <c r="K60" s="131"/>
      <c r="L60" s="131"/>
      <c r="M60" s="131"/>
      <c r="N60" s="131"/>
      <c r="O60" s="131"/>
      <c r="P60" s="131"/>
      <c r="Q60" s="131"/>
      <c r="R60" s="131"/>
      <c r="S60" s="132"/>
    </row>
    <row r="61" spans="2:19" ht="20" thickBot="1">
      <c r="B61" s="171"/>
      <c r="C61" s="699" t="s">
        <v>131</v>
      </c>
      <c r="D61" s="700"/>
      <c r="E61" s="172">
        <f>SUM(E52:E60)</f>
        <v>400</v>
      </c>
      <c r="F61" s="172">
        <f>SUM(F52:F60)</f>
        <v>480</v>
      </c>
      <c r="G61" s="172">
        <f>SUM(G52:G60)</f>
        <v>576</v>
      </c>
      <c r="H61" s="172">
        <f>SUM(H52:H60)</f>
        <v>691.19999999999993</v>
      </c>
      <c r="I61" s="173">
        <f>SUM(I52:I60)</f>
        <v>829.43999999999994</v>
      </c>
      <c r="J61" s="131"/>
      <c r="K61" s="131"/>
      <c r="L61" s="131"/>
      <c r="M61" s="131"/>
      <c r="N61" s="131"/>
      <c r="O61" s="131"/>
      <c r="P61" s="131"/>
      <c r="Q61" s="131"/>
      <c r="R61" s="131"/>
      <c r="S61" s="132"/>
    </row>
    <row r="62" spans="2:19" ht="17" customHeight="1" thickBot="1">
      <c r="B62" s="509"/>
      <c r="C62" s="232"/>
      <c r="D62" s="232"/>
      <c r="E62" s="233"/>
      <c r="F62" s="234"/>
      <c r="G62" s="235"/>
      <c r="H62" s="198"/>
      <c r="I62" s="198"/>
      <c r="J62" s="131"/>
      <c r="K62" s="131"/>
      <c r="L62" s="131"/>
      <c r="M62" s="131"/>
      <c r="N62" s="131"/>
      <c r="O62" s="131"/>
      <c r="P62" s="131"/>
      <c r="Q62" s="131"/>
      <c r="R62" s="131"/>
      <c r="S62" s="132"/>
    </row>
    <row r="63" spans="2:19" ht="40" customHeight="1">
      <c r="B63" s="697" t="s">
        <v>132</v>
      </c>
      <c r="C63" s="698"/>
      <c r="D63" s="698"/>
      <c r="E63" s="698"/>
      <c r="F63" s="698"/>
      <c r="G63" s="640" t="s">
        <v>128</v>
      </c>
      <c r="H63" s="640"/>
      <c r="I63" s="174">
        <f>I49</f>
        <v>1.2</v>
      </c>
      <c r="J63" s="131"/>
      <c r="K63" s="131"/>
      <c r="L63" s="131"/>
      <c r="M63" s="131"/>
      <c r="N63" s="131"/>
      <c r="O63" s="131"/>
      <c r="P63" s="131"/>
      <c r="Q63" s="131"/>
      <c r="R63" s="131"/>
      <c r="S63" s="132"/>
    </row>
    <row r="64" spans="2:19" ht="19">
      <c r="B64" s="159"/>
      <c r="C64" s="658" t="s">
        <v>129</v>
      </c>
      <c r="D64" s="659"/>
      <c r="E64" s="693" t="s">
        <v>130</v>
      </c>
      <c r="F64" s="693"/>
      <c r="G64" s="693"/>
      <c r="H64" s="693"/>
      <c r="I64" s="694"/>
      <c r="J64" s="131"/>
      <c r="K64" s="131"/>
      <c r="L64" s="131"/>
      <c r="M64" s="131"/>
      <c r="N64" s="131"/>
      <c r="O64" s="131"/>
      <c r="P64" s="131"/>
      <c r="Q64" s="131"/>
      <c r="R64" s="131"/>
      <c r="S64" s="132"/>
    </row>
    <row r="65" spans="2:19" ht="19">
      <c r="B65" s="163"/>
      <c r="C65" s="660"/>
      <c r="D65" s="661"/>
      <c r="E65" s="164">
        <v>1</v>
      </c>
      <c r="F65" s="164">
        <v>2</v>
      </c>
      <c r="G65" s="164">
        <v>3</v>
      </c>
      <c r="H65" s="164">
        <v>4</v>
      </c>
      <c r="I65" s="165">
        <v>5</v>
      </c>
      <c r="J65" s="131"/>
      <c r="K65" s="131"/>
      <c r="L65" s="131"/>
      <c r="M65" s="131"/>
      <c r="N65" s="131"/>
      <c r="O65" s="131"/>
      <c r="P65" s="131"/>
      <c r="Q65" s="131"/>
      <c r="R65" s="131"/>
      <c r="S65" s="132"/>
    </row>
    <row r="66" spans="2:19">
      <c r="B66" s="166">
        <v>1</v>
      </c>
      <c r="C66" s="662" t="str">
        <f t="shared" ref="C66:C74" si="23">C5</f>
        <v>MAKİNE</v>
      </c>
      <c r="D66" s="663"/>
      <c r="E66" s="438">
        <f t="shared" ref="E66:E74" si="24">Q21</f>
        <v>105200000</v>
      </c>
      <c r="F66" s="439">
        <f>E66*I63</f>
        <v>126240000</v>
      </c>
      <c r="G66" s="439">
        <f>F66*I63</f>
        <v>151488000</v>
      </c>
      <c r="H66" s="439">
        <f>G66*I63</f>
        <v>181785600</v>
      </c>
      <c r="I66" s="440">
        <f>H66*I63</f>
        <v>218142720</v>
      </c>
      <c r="J66" s="131"/>
      <c r="K66" s="131"/>
      <c r="L66" s="131"/>
      <c r="M66" s="131"/>
      <c r="N66" s="131"/>
      <c r="O66" s="131"/>
      <c r="P66" s="131"/>
      <c r="Q66" s="131"/>
      <c r="R66" s="131"/>
      <c r="S66" s="132"/>
    </row>
    <row r="67" spans="2:19">
      <c r="B67" s="166">
        <v>2</v>
      </c>
      <c r="C67" s="636">
        <f t="shared" si="23"/>
        <v>0</v>
      </c>
      <c r="D67" s="637"/>
      <c r="E67" s="177">
        <f t="shared" si="24"/>
        <v>0</v>
      </c>
      <c r="F67" s="175">
        <f>E67*I63</f>
        <v>0</v>
      </c>
      <c r="G67" s="175">
        <f>F67*I63</f>
        <v>0</v>
      </c>
      <c r="H67" s="175">
        <f>G67*I63</f>
        <v>0</v>
      </c>
      <c r="I67" s="176">
        <f>H67*I63</f>
        <v>0</v>
      </c>
      <c r="J67" s="131"/>
      <c r="K67" s="131"/>
      <c r="L67" s="131"/>
      <c r="M67" s="131"/>
      <c r="N67" s="131"/>
      <c r="O67" s="131"/>
      <c r="P67" s="131"/>
      <c r="Q67" s="131"/>
      <c r="R67" s="131"/>
      <c r="S67" s="132"/>
    </row>
    <row r="68" spans="2:19">
      <c r="B68" s="166">
        <v>3</v>
      </c>
      <c r="C68" s="636">
        <f t="shared" si="23"/>
        <v>0</v>
      </c>
      <c r="D68" s="637"/>
      <c r="E68" s="177">
        <f t="shared" si="24"/>
        <v>0</v>
      </c>
      <c r="F68" s="175">
        <f>E68*I63</f>
        <v>0</v>
      </c>
      <c r="G68" s="175">
        <f>F68*I63</f>
        <v>0</v>
      </c>
      <c r="H68" s="175">
        <f>G68*I63</f>
        <v>0</v>
      </c>
      <c r="I68" s="176">
        <f>H68*I63</f>
        <v>0</v>
      </c>
      <c r="J68" s="131"/>
      <c r="K68" s="131"/>
      <c r="L68" s="131"/>
      <c r="M68" s="131"/>
      <c r="N68" s="131"/>
      <c r="O68" s="131"/>
      <c r="P68" s="131"/>
      <c r="Q68" s="131"/>
      <c r="R68" s="131"/>
      <c r="S68" s="132"/>
    </row>
    <row r="69" spans="2:19">
      <c r="B69" s="166">
        <v>4</v>
      </c>
      <c r="C69" s="636">
        <f t="shared" si="23"/>
        <v>0</v>
      </c>
      <c r="D69" s="637"/>
      <c r="E69" s="177">
        <f t="shared" si="24"/>
        <v>0</v>
      </c>
      <c r="F69" s="175">
        <f>E69*I63</f>
        <v>0</v>
      </c>
      <c r="G69" s="175">
        <f>F69*I63</f>
        <v>0</v>
      </c>
      <c r="H69" s="175">
        <f>G69*I63</f>
        <v>0</v>
      </c>
      <c r="I69" s="176">
        <f>H69*I63</f>
        <v>0</v>
      </c>
      <c r="J69" s="131"/>
      <c r="K69" s="131"/>
      <c r="L69" s="131"/>
      <c r="M69" s="131"/>
      <c r="N69" s="131"/>
      <c r="O69" s="131"/>
      <c r="P69" s="131"/>
      <c r="Q69" s="131"/>
      <c r="R69" s="131"/>
      <c r="S69" s="132"/>
    </row>
    <row r="70" spans="2:19">
      <c r="B70" s="166">
        <v>5</v>
      </c>
      <c r="C70" s="636">
        <f t="shared" si="23"/>
        <v>0</v>
      </c>
      <c r="D70" s="637"/>
      <c r="E70" s="177">
        <f t="shared" si="24"/>
        <v>0</v>
      </c>
      <c r="F70" s="175">
        <f>E70*I63</f>
        <v>0</v>
      </c>
      <c r="G70" s="175">
        <f>F70*I63</f>
        <v>0</v>
      </c>
      <c r="H70" s="175">
        <f>G70*I63</f>
        <v>0</v>
      </c>
      <c r="I70" s="176">
        <f>H70*I63</f>
        <v>0</v>
      </c>
      <c r="J70" s="131"/>
      <c r="K70" s="131"/>
      <c r="L70" s="131"/>
      <c r="M70" s="131"/>
      <c r="N70" s="131"/>
      <c r="O70" s="131"/>
      <c r="P70" s="131"/>
      <c r="Q70" s="131"/>
      <c r="R70" s="131"/>
      <c r="S70" s="132"/>
    </row>
    <row r="71" spans="2:19">
      <c r="B71" s="166">
        <v>6</v>
      </c>
      <c r="C71" s="636">
        <f t="shared" si="23"/>
        <v>0</v>
      </c>
      <c r="D71" s="637"/>
      <c r="E71" s="177">
        <f t="shared" si="24"/>
        <v>0</v>
      </c>
      <c r="F71" s="175">
        <f>E71*I63</f>
        <v>0</v>
      </c>
      <c r="G71" s="175">
        <f>F71*I63</f>
        <v>0</v>
      </c>
      <c r="H71" s="175">
        <f>G71*I63</f>
        <v>0</v>
      </c>
      <c r="I71" s="176">
        <f>H71*I63</f>
        <v>0</v>
      </c>
      <c r="J71" s="131"/>
      <c r="K71" s="131"/>
      <c r="L71" s="131"/>
      <c r="M71" s="131"/>
      <c r="N71" s="131"/>
      <c r="O71" s="131"/>
      <c r="P71" s="131"/>
      <c r="Q71" s="131"/>
      <c r="R71" s="131"/>
      <c r="S71" s="132"/>
    </row>
    <row r="72" spans="2:19">
      <c r="B72" s="166">
        <v>7</v>
      </c>
      <c r="C72" s="636">
        <f t="shared" si="23"/>
        <v>0</v>
      </c>
      <c r="D72" s="637"/>
      <c r="E72" s="177">
        <f t="shared" si="24"/>
        <v>0</v>
      </c>
      <c r="F72" s="175">
        <f>E72*I63</f>
        <v>0</v>
      </c>
      <c r="G72" s="175">
        <f>F72*I63</f>
        <v>0</v>
      </c>
      <c r="H72" s="175">
        <f>G72*I63</f>
        <v>0</v>
      </c>
      <c r="I72" s="176">
        <f>H72*I63</f>
        <v>0</v>
      </c>
      <c r="J72" s="131"/>
      <c r="K72" s="131"/>
      <c r="L72" s="131"/>
      <c r="M72" s="131"/>
      <c r="N72" s="131"/>
      <c r="O72" s="131"/>
      <c r="P72" s="131"/>
      <c r="Q72" s="131"/>
      <c r="R72" s="131"/>
      <c r="S72" s="132"/>
    </row>
    <row r="73" spans="2:19">
      <c r="B73" s="166">
        <v>8</v>
      </c>
      <c r="C73" s="636">
        <f t="shared" si="23"/>
        <v>0</v>
      </c>
      <c r="D73" s="637"/>
      <c r="E73" s="177">
        <f t="shared" si="24"/>
        <v>0</v>
      </c>
      <c r="F73" s="175">
        <f>E73*I63</f>
        <v>0</v>
      </c>
      <c r="G73" s="175">
        <f>F73*I63</f>
        <v>0</v>
      </c>
      <c r="H73" s="175">
        <f>G73*I63</f>
        <v>0</v>
      </c>
      <c r="I73" s="176">
        <f>H73*I63</f>
        <v>0</v>
      </c>
      <c r="J73" s="131"/>
      <c r="K73" s="131"/>
      <c r="L73" s="131"/>
      <c r="M73" s="131"/>
      <c r="N73" s="131"/>
      <c r="O73" s="131"/>
      <c r="P73" s="131"/>
      <c r="Q73" s="131"/>
      <c r="R73" s="131"/>
      <c r="S73" s="132"/>
    </row>
    <row r="74" spans="2:19">
      <c r="B74" s="166">
        <v>9</v>
      </c>
      <c r="C74" s="636">
        <f t="shared" si="23"/>
        <v>0</v>
      </c>
      <c r="D74" s="637"/>
      <c r="E74" s="177">
        <f t="shared" si="24"/>
        <v>0</v>
      </c>
      <c r="F74" s="175">
        <f>E74*I63</f>
        <v>0</v>
      </c>
      <c r="G74" s="175">
        <f>F74*I63</f>
        <v>0</v>
      </c>
      <c r="H74" s="175">
        <f>G74*I63</f>
        <v>0</v>
      </c>
      <c r="I74" s="176">
        <f>H74*I63</f>
        <v>0</v>
      </c>
      <c r="J74" s="131"/>
      <c r="K74" s="131"/>
      <c r="L74" s="131"/>
      <c r="M74" s="131"/>
      <c r="N74" s="131"/>
      <c r="O74" s="131"/>
      <c r="P74" s="131"/>
      <c r="Q74" s="131"/>
      <c r="R74" s="131"/>
      <c r="S74" s="132"/>
    </row>
    <row r="75" spans="2:19" ht="19">
      <c r="B75" s="158"/>
      <c r="C75" s="689" t="s">
        <v>133</v>
      </c>
      <c r="D75" s="690"/>
      <c r="E75" s="441">
        <f>SUM(E66:E74)</f>
        <v>105200000</v>
      </c>
      <c r="F75" s="441">
        <f>SUM(F66:F74)</f>
        <v>126240000</v>
      </c>
      <c r="G75" s="441">
        <f>SUM(G66:G74)</f>
        <v>151488000</v>
      </c>
      <c r="H75" s="441">
        <f>SUM(H66:H74)</f>
        <v>181785600</v>
      </c>
      <c r="I75" s="442">
        <f>SUM(I66:I74)</f>
        <v>218142720</v>
      </c>
      <c r="J75" s="131"/>
      <c r="K75" s="131"/>
      <c r="L75" s="131"/>
      <c r="M75" s="131"/>
      <c r="N75" s="131"/>
      <c r="O75" s="131"/>
      <c r="P75" s="131"/>
      <c r="Q75" s="131"/>
      <c r="R75" s="131"/>
      <c r="S75" s="132"/>
    </row>
    <row r="76" spans="2:19" ht="19">
      <c r="B76" s="159"/>
      <c r="C76" s="691" t="s">
        <v>134</v>
      </c>
      <c r="D76" s="692"/>
      <c r="E76" s="443">
        <f>'6. Finansal Plan'!E72</f>
        <v>13242000</v>
      </c>
      <c r="F76" s="443">
        <f>'6. Finansal Plan'!F72</f>
        <v>14566200.000000002</v>
      </c>
      <c r="G76" s="443">
        <f>'6. Finansal Plan'!G72</f>
        <v>16022820.000000004</v>
      </c>
      <c r="H76" s="443">
        <f>'6. Finansal Plan'!H72</f>
        <v>17625102.000000004</v>
      </c>
      <c r="I76" s="444">
        <f>'6. Finansal Plan'!I72</f>
        <v>19387612.20000001</v>
      </c>
      <c r="J76" s="131"/>
      <c r="K76" s="131"/>
      <c r="L76" s="131"/>
      <c r="M76" s="131"/>
      <c r="N76" s="131"/>
      <c r="O76" s="131"/>
      <c r="P76" s="131"/>
      <c r="Q76" s="131"/>
      <c r="R76" s="131"/>
      <c r="S76" s="132"/>
    </row>
    <row r="77" spans="2:19" ht="20" thickBot="1">
      <c r="B77" s="160"/>
      <c r="C77" s="687" t="s">
        <v>135</v>
      </c>
      <c r="D77" s="688"/>
      <c r="E77" s="445">
        <f>E75-E76</f>
        <v>91958000</v>
      </c>
      <c r="F77" s="445">
        <f>F75-F76</f>
        <v>111673800</v>
      </c>
      <c r="G77" s="445">
        <f>G75-G76</f>
        <v>135465180</v>
      </c>
      <c r="H77" s="445">
        <f>H75-H76</f>
        <v>164160498</v>
      </c>
      <c r="I77" s="446">
        <f>I75-I76</f>
        <v>198755107.79999998</v>
      </c>
      <c r="J77" s="131"/>
      <c r="K77" s="131"/>
      <c r="L77" s="131"/>
      <c r="M77" s="131"/>
      <c r="N77" s="131"/>
      <c r="O77" s="131"/>
      <c r="P77" s="131"/>
      <c r="Q77" s="131"/>
      <c r="R77" s="131"/>
      <c r="S77" s="132"/>
    </row>
    <row r="78" spans="2:19" ht="24" customHeight="1" thickBot="1">
      <c r="B78" s="510"/>
      <c r="C78" s="198"/>
      <c r="D78" s="198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2"/>
    </row>
    <row r="79" spans="2:19" ht="44" customHeight="1">
      <c r="B79" s="678"/>
      <c r="C79" s="664" t="s">
        <v>125</v>
      </c>
      <c r="D79" s="665"/>
      <c r="E79" s="640" t="s">
        <v>136</v>
      </c>
      <c r="F79" s="640" t="s">
        <v>137</v>
      </c>
      <c r="G79" s="640" t="s">
        <v>138</v>
      </c>
      <c r="H79" s="682" t="s">
        <v>139</v>
      </c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2"/>
    </row>
    <row r="80" spans="2:19" ht="38" customHeight="1">
      <c r="B80" s="679"/>
      <c r="C80" s="666"/>
      <c r="D80" s="667"/>
      <c r="E80" s="641"/>
      <c r="F80" s="641"/>
      <c r="G80" s="641"/>
      <c r="H80" s="683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2"/>
    </row>
    <row r="81" spans="2:19">
      <c r="B81" s="142">
        <v>1</v>
      </c>
      <c r="C81" s="662" t="str">
        <f t="shared" ref="C81:C89" si="25">C66</f>
        <v>MAKİNE</v>
      </c>
      <c r="D81" s="663"/>
      <c r="E81" s="178">
        <f t="shared" ref="E81:E89" si="26">Q5</f>
        <v>400</v>
      </c>
      <c r="F81" s="447">
        <f>Q21</f>
        <v>105200000</v>
      </c>
      <c r="G81" s="448">
        <f>(100*E81)/E90</f>
        <v>100</v>
      </c>
      <c r="H81" s="449">
        <f>D5</f>
        <v>263000</v>
      </c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2"/>
    </row>
    <row r="82" spans="2:19">
      <c r="B82" s="142">
        <v>2</v>
      </c>
      <c r="C82" s="636">
        <f t="shared" si="25"/>
        <v>0</v>
      </c>
      <c r="D82" s="637"/>
      <c r="E82" s="178">
        <f t="shared" si="26"/>
        <v>0</v>
      </c>
      <c r="F82" s="179">
        <f>+Q22</f>
        <v>0</v>
      </c>
      <c r="G82" s="180">
        <f>(100*E82)/E90</f>
        <v>0</v>
      </c>
      <c r="H82" s="181">
        <f t="shared" ref="H82:H88" si="27">D6</f>
        <v>0</v>
      </c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2"/>
    </row>
    <row r="83" spans="2:19">
      <c r="B83" s="142">
        <v>3</v>
      </c>
      <c r="C83" s="636">
        <f t="shared" si="25"/>
        <v>0</v>
      </c>
      <c r="D83" s="637"/>
      <c r="E83" s="178">
        <f t="shared" si="26"/>
        <v>0</v>
      </c>
      <c r="F83" s="179">
        <f>+Q23</f>
        <v>0</v>
      </c>
      <c r="G83" s="180">
        <f>(100*E83)/E90</f>
        <v>0</v>
      </c>
      <c r="H83" s="181">
        <f t="shared" si="27"/>
        <v>0</v>
      </c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2"/>
    </row>
    <row r="84" spans="2:19">
      <c r="B84" s="142">
        <v>4</v>
      </c>
      <c r="C84" s="636">
        <f t="shared" si="25"/>
        <v>0</v>
      </c>
      <c r="D84" s="637"/>
      <c r="E84" s="178">
        <f t="shared" si="26"/>
        <v>0</v>
      </c>
      <c r="F84" s="179">
        <f>+Q24</f>
        <v>0</v>
      </c>
      <c r="G84" s="180">
        <f>(100*E84)/E90</f>
        <v>0</v>
      </c>
      <c r="H84" s="181">
        <f t="shared" si="27"/>
        <v>0</v>
      </c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2"/>
    </row>
    <row r="85" spans="2:19">
      <c r="B85" s="142">
        <v>5</v>
      </c>
      <c r="C85" s="636">
        <f t="shared" si="25"/>
        <v>0</v>
      </c>
      <c r="D85" s="637"/>
      <c r="E85" s="178">
        <f t="shared" si="26"/>
        <v>0</v>
      </c>
      <c r="F85" s="179">
        <f>+Q25</f>
        <v>0</v>
      </c>
      <c r="G85" s="180">
        <f>(100*E85)/E90</f>
        <v>0</v>
      </c>
      <c r="H85" s="181">
        <f t="shared" si="27"/>
        <v>0</v>
      </c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2"/>
    </row>
    <row r="86" spans="2:19">
      <c r="B86" s="142">
        <v>6</v>
      </c>
      <c r="C86" s="636">
        <f t="shared" si="25"/>
        <v>0</v>
      </c>
      <c r="D86" s="637"/>
      <c r="E86" s="178">
        <f t="shared" si="26"/>
        <v>0</v>
      </c>
      <c r="F86" s="179">
        <f>+Q26</f>
        <v>0</v>
      </c>
      <c r="G86" s="180">
        <f>(100*E86)/E90</f>
        <v>0</v>
      </c>
      <c r="H86" s="181">
        <f t="shared" si="27"/>
        <v>0</v>
      </c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2"/>
    </row>
    <row r="87" spans="2:19">
      <c r="B87" s="142">
        <v>7</v>
      </c>
      <c r="C87" s="636">
        <f t="shared" si="25"/>
        <v>0</v>
      </c>
      <c r="D87" s="637"/>
      <c r="E87" s="178">
        <f t="shared" si="26"/>
        <v>0</v>
      </c>
      <c r="F87" s="179">
        <f t="shared" ref="F87:F89" si="28">+Q27</f>
        <v>0</v>
      </c>
      <c r="G87" s="180">
        <f>(100*E87)/E90</f>
        <v>0</v>
      </c>
      <c r="H87" s="181">
        <f t="shared" si="27"/>
        <v>0</v>
      </c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2"/>
    </row>
    <row r="88" spans="2:19">
      <c r="B88" s="142">
        <v>8</v>
      </c>
      <c r="C88" s="636">
        <f t="shared" si="25"/>
        <v>0</v>
      </c>
      <c r="D88" s="637"/>
      <c r="E88" s="178">
        <f t="shared" si="26"/>
        <v>0</v>
      </c>
      <c r="F88" s="179">
        <f t="shared" si="28"/>
        <v>0</v>
      </c>
      <c r="G88" s="180">
        <f>(100*E88)/E90</f>
        <v>0</v>
      </c>
      <c r="H88" s="181">
        <f t="shared" si="27"/>
        <v>0</v>
      </c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2"/>
    </row>
    <row r="89" spans="2:19">
      <c r="B89" s="142">
        <v>9</v>
      </c>
      <c r="C89" s="636">
        <f t="shared" si="25"/>
        <v>0</v>
      </c>
      <c r="D89" s="637"/>
      <c r="E89" s="178">
        <f t="shared" si="26"/>
        <v>0</v>
      </c>
      <c r="F89" s="179">
        <f t="shared" si="28"/>
        <v>0</v>
      </c>
      <c r="G89" s="180">
        <f>(100*E89)/E90</f>
        <v>0</v>
      </c>
      <c r="H89" s="18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2"/>
    </row>
    <row r="90" spans="2:19" ht="23" customHeight="1" thickBot="1">
      <c r="B90" s="182"/>
      <c r="C90" s="656" t="s">
        <v>126</v>
      </c>
      <c r="D90" s="657"/>
      <c r="E90" s="183">
        <f>SUM(E81:E89)</f>
        <v>400</v>
      </c>
      <c r="F90" s="183">
        <f>SUM(F81:F89)</f>
        <v>105200000</v>
      </c>
      <c r="G90" s="183">
        <f>SUM(G81:G89)</f>
        <v>100</v>
      </c>
      <c r="H90" s="183">
        <f>SUM(H81:H89)</f>
        <v>263000</v>
      </c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2"/>
    </row>
    <row r="91" spans="2:19"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2"/>
    </row>
    <row r="92" spans="2:19" ht="16" thickBot="1">
      <c r="B92" s="209"/>
      <c r="C92" s="209"/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09"/>
      <c r="Q92" s="209"/>
      <c r="R92" s="209"/>
      <c r="S92" s="203"/>
    </row>
  </sheetData>
  <sheetProtection formatCells="0" formatColumns="0" formatRows="0" insertColumns="0" insertRows="0" insertHyperlinks="0" deleteColumns="0" deleteRows="0" sort="0" autoFilter="0" pivotTables="0"/>
  <mergeCells count="114">
    <mergeCell ref="C2:R2"/>
    <mergeCell ref="C33:R33"/>
    <mergeCell ref="C77:D77"/>
    <mergeCell ref="E79:E80"/>
    <mergeCell ref="C75:D75"/>
    <mergeCell ref="C76:D76"/>
    <mergeCell ref="C54:D54"/>
    <mergeCell ref="C55:D55"/>
    <mergeCell ref="F3:F4"/>
    <mergeCell ref="E64:I64"/>
    <mergeCell ref="P3:P4"/>
    <mergeCell ref="E50:I50"/>
    <mergeCell ref="G63:H63"/>
    <mergeCell ref="B63:F63"/>
    <mergeCell ref="C61:D61"/>
    <mergeCell ref="E19:E20"/>
    <mergeCell ref="F19:F20"/>
    <mergeCell ref="Q3:Q4"/>
    <mergeCell ref="K19:K20"/>
    <mergeCell ref="L19:L20"/>
    <mergeCell ref="C31:D31"/>
    <mergeCell ref="M19:M20"/>
    <mergeCell ref="N19:N20"/>
    <mergeCell ref="C19:D20"/>
    <mergeCell ref="B79:B80"/>
    <mergeCell ref="R3:R4"/>
    <mergeCell ref="R19:R20"/>
    <mergeCell ref="R34:R35"/>
    <mergeCell ref="G79:G80"/>
    <mergeCell ref="H79:H80"/>
    <mergeCell ref="F79:F80"/>
    <mergeCell ref="K34:K35"/>
    <mergeCell ref="L34:L35"/>
    <mergeCell ref="M34:M35"/>
    <mergeCell ref="F34:F35"/>
    <mergeCell ref="G34:G35"/>
    <mergeCell ref="H34:H35"/>
    <mergeCell ref="I34:I35"/>
    <mergeCell ref="J34:J35"/>
    <mergeCell ref="Q19:Q20"/>
    <mergeCell ref="G49:H49"/>
    <mergeCell ref="G19:G20"/>
    <mergeCell ref="H19:H20"/>
    <mergeCell ref="C73:D73"/>
    <mergeCell ref="C74:D74"/>
    <mergeCell ref="C71:D71"/>
    <mergeCell ref="C72:D72"/>
    <mergeCell ref="C18:R18"/>
    <mergeCell ref="C34:C35"/>
    <mergeCell ref="D34:D35"/>
    <mergeCell ref="O19:O20"/>
    <mergeCell ref="N3:N4"/>
    <mergeCell ref="O3:O4"/>
    <mergeCell ref="N34:N35"/>
    <mergeCell ref="K3:K4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J3:J4"/>
    <mergeCell ref="C90:D90"/>
    <mergeCell ref="C64:D65"/>
    <mergeCell ref="C81:D81"/>
    <mergeCell ref="C79:D80"/>
    <mergeCell ref="C66:D66"/>
    <mergeCell ref="C50:D51"/>
    <mergeCell ref="C52:D52"/>
    <mergeCell ref="C53:D53"/>
    <mergeCell ref="C56:D56"/>
    <mergeCell ref="C57:D57"/>
    <mergeCell ref="C58:D58"/>
    <mergeCell ref="C59:D59"/>
    <mergeCell ref="C60:D60"/>
    <mergeCell ref="C67:D67"/>
    <mergeCell ref="C68:D68"/>
    <mergeCell ref="C69:D69"/>
    <mergeCell ref="C70:D70"/>
    <mergeCell ref="C82:D82"/>
    <mergeCell ref="C87:D87"/>
    <mergeCell ref="C88:D88"/>
    <mergeCell ref="C89:D89"/>
    <mergeCell ref="C84:D84"/>
    <mergeCell ref="C85:D85"/>
    <mergeCell ref="C86:D86"/>
    <mergeCell ref="B34:B35"/>
    <mergeCell ref="B1:Q1"/>
    <mergeCell ref="D3:D4"/>
    <mergeCell ref="C83:D83"/>
    <mergeCell ref="C3:C4"/>
    <mergeCell ref="E3:E4"/>
    <mergeCell ref="C44:D44"/>
    <mergeCell ref="C46:D46"/>
    <mergeCell ref="C16:D16"/>
    <mergeCell ref="C47:D47"/>
    <mergeCell ref="I19:I20"/>
    <mergeCell ref="J19:J20"/>
    <mergeCell ref="L3:L4"/>
    <mergeCell ref="M3:M4"/>
    <mergeCell ref="B49:F49"/>
    <mergeCell ref="Q34:Q35"/>
    <mergeCell ref="P19:P20"/>
    <mergeCell ref="E46:P46"/>
    <mergeCell ref="O34:O35"/>
    <mergeCell ref="P34:P35"/>
    <mergeCell ref="E34:E35"/>
    <mergeCell ref="G3:G4"/>
    <mergeCell ref="H3:H4"/>
    <mergeCell ref="I3:I4"/>
  </mergeCells>
  <phoneticPr fontId="88" type="noConversion"/>
  <dataValidations xWindow="897" yWindow="305" count="1">
    <dataValidation allowBlank="1" showInputMessage="1" showErrorMessage="1" promptTitle="Tufan Ata TÜRKYILMAZ" prompt="Lütfen Değiştirmeyiniz. _x000d_Otomatik olarak dolacaktır. " sqref="C52:C61 Q21:R31 Q5:R16 C81:C90 C66:C77 E66:I77 E52:I61 E81:H90" xr:uid="{00000000-0002-0000-0200-000000000000}"/>
  </dataValidations>
  <hyperlinks>
    <hyperlink ref="B1" r:id="rId1" xr:uid="{00000000-0004-0000-0200-000000000000}"/>
  </hyperlinks>
  <pageMargins left="0.7" right="0.7" top="0.75" bottom="0.75" header="0.3" footer="0.3"/>
  <pageSetup paperSize="9" orientation="landscape" horizontalDpi="300" verticalDpi="300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17"/>
  <sheetViews>
    <sheetView topLeftCell="B2" zoomScale="150" zoomScaleNormal="150" zoomScalePageLayoutView="150" workbookViewId="0">
      <selection activeCell="C21" sqref="C21"/>
    </sheetView>
  </sheetViews>
  <sheetFormatPr baseColWidth="10" defaultColWidth="19.1640625" defaultRowHeight="15"/>
  <cols>
    <col min="1" max="1" width="3.1640625" bestFit="1" customWidth="1"/>
    <col min="2" max="2" width="41.1640625" style="7" bestFit="1" customWidth="1"/>
    <col min="3" max="3" width="50.1640625" style="7" bestFit="1" customWidth="1"/>
    <col min="4" max="4" width="10.5" style="1" customWidth="1"/>
  </cols>
  <sheetData>
    <row r="2" spans="1:4" ht="18">
      <c r="B2" s="5" t="s">
        <v>140</v>
      </c>
    </row>
    <row r="3" spans="1:4" ht="16" thickBot="1"/>
    <row r="4" spans="1:4" ht="20">
      <c r="A4" s="11"/>
      <c r="B4" s="13" t="s">
        <v>141</v>
      </c>
      <c r="C4" s="13" t="s">
        <v>142</v>
      </c>
      <c r="D4" s="12" t="s">
        <v>143</v>
      </c>
    </row>
    <row r="5" spans="1:4">
      <c r="A5" s="3">
        <v>1</v>
      </c>
      <c r="B5" s="10" t="s">
        <v>144</v>
      </c>
      <c r="C5" s="10" t="s">
        <v>145</v>
      </c>
      <c r="D5" s="14"/>
    </row>
    <row r="6" spans="1:4">
      <c r="A6" s="2">
        <v>2</v>
      </c>
      <c r="B6" s="8" t="s">
        <v>146</v>
      </c>
      <c r="C6" s="8" t="s">
        <v>147</v>
      </c>
      <c r="D6" s="15"/>
    </row>
    <row r="7" spans="1:4">
      <c r="A7" s="2">
        <v>3</v>
      </c>
      <c r="B7" s="8" t="s">
        <v>148</v>
      </c>
      <c r="C7" s="8" t="s">
        <v>145</v>
      </c>
      <c r="D7" s="15"/>
    </row>
    <row r="8" spans="1:4">
      <c r="A8" s="2">
        <v>4</v>
      </c>
      <c r="B8" s="8" t="s">
        <v>149</v>
      </c>
      <c r="C8" s="8" t="s">
        <v>147</v>
      </c>
      <c r="D8" s="15"/>
    </row>
    <row r="9" spans="1:4">
      <c r="A9" s="2">
        <v>5</v>
      </c>
      <c r="B9" s="8" t="s">
        <v>150</v>
      </c>
      <c r="C9" s="8" t="s">
        <v>147</v>
      </c>
      <c r="D9" s="15"/>
    </row>
    <row r="10" spans="1:4">
      <c r="A10" s="2">
        <v>6</v>
      </c>
      <c r="B10" s="8" t="s">
        <v>151</v>
      </c>
      <c r="C10" s="8" t="s">
        <v>152</v>
      </c>
      <c r="D10" s="15"/>
    </row>
    <row r="11" spans="1:4">
      <c r="A11" s="2">
        <v>7</v>
      </c>
      <c r="B11" s="8" t="s">
        <v>153</v>
      </c>
      <c r="C11" s="8" t="s">
        <v>154</v>
      </c>
      <c r="D11" s="15"/>
    </row>
    <row r="12" spans="1:4">
      <c r="A12" s="2">
        <v>8</v>
      </c>
      <c r="B12" s="8" t="s">
        <v>155</v>
      </c>
      <c r="C12" s="8" t="s">
        <v>156</v>
      </c>
      <c r="D12" s="15"/>
    </row>
    <row r="13" spans="1:4">
      <c r="A13" s="2">
        <v>10</v>
      </c>
      <c r="B13" s="8" t="s">
        <v>157</v>
      </c>
      <c r="C13" s="8" t="s">
        <v>158</v>
      </c>
      <c r="D13" s="15"/>
    </row>
    <row r="14" spans="1:4">
      <c r="A14" s="2">
        <v>11</v>
      </c>
      <c r="B14" s="8" t="s">
        <v>159</v>
      </c>
      <c r="C14" s="8" t="s">
        <v>160</v>
      </c>
      <c r="D14" s="15"/>
    </row>
    <row r="15" spans="1:4">
      <c r="A15" s="4">
        <v>12</v>
      </c>
      <c r="B15" s="9" t="s">
        <v>161</v>
      </c>
      <c r="C15" s="9"/>
      <c r="D15" s="16"/>
    </row>
    <row r="16" spans="1:4">
      <c r="A16" s="4">
        <v>13</v>
      </c>
      <c r="B16" s="9" t="s">
        <v>162</v>
      </c>
      <c r="C16" s="9" t="s">
        <v>163</v>
      </c>
      <c r="D16" s="16"/>
    </row>
    <row r="17" spans="1:4" ht="20" thickBot="1">
      <c r="A17" s="6"/>
      <c r="B17" s="706" t="s">
        <v>126</v>
      </c>
      <c r="C17" s="707"/>
      <c r="D17" s="17">
        <f>SUM(D5:D16)</f>
        <v>0</v>
      </c>
    </row>
  </sheetData>
  <mergeCells count="1">
    <mergeCell ref="B17:C17"/>
  </mergeCells>
  <phoneticPr fontId="13" type="noConversion"/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İşletmenin Gelecek Projesiyonu</vt:lpstr>
      <vt:lpstr>6. Finansal Plan</vt:lpstr>
      <vt:lpstr>Üretim-Satış Hedefleri</vt:lpstr>
      <vt:lpstr>Kuruluş Dönemi Masrafları</vt:lpstr>
      <vt:lpstr>'Kuruluş Dönemi Masrafları'!_Toc434653449</vt:lpstr>
      <vt:lpstr>'Kuruluş Dönemi Masrafları'!_Toc434653450</vt:lpstr>
    </vt:vector>
  </TitlesOfParts>
  <Manager/>
  <Company/>
  <LinksUpToDate>false</LinksUpToDate>
  <SharedDoc>false</SharedDoc>
  <HyperlinkBase>www.tufanataturkyilmaz.com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Tufan Ata TÜRKYILMAZ</dc:title>
  <dc:subject/>
  <dc:creator>Tufan Ata TÜRKYILMAZ</dc:creator>
  <cp:keywords/>
  <dc:description/>
  <cp:lastModifiedBy>Microsoft Office User</cp:lastModifiedBy>
  <cp:revision/>
  <dcterms:created xsi:type="dcterms:W3CDTF">2011-05-02T06:35:15Z</dcterms:created>
  <dcterms:modified xsi:type="dcterms:W3CDTF">2024-12-12T14:02:30Z</dcterms:modified>
  <cp:category/>
  <cp:contentStatus/>
</cp:coreProperties>
</file>